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8120" windowHeight="17610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G26" i="1"/>
  <c r="J26" i="1"/>
  <c r="G27" i="1"/>
  <c r="J27" i="1"/>
  <c r="G28" i="1"/>
  <c r="J28" i="1"/>
  <c r="E29" i="1"/>
  <c r="G29" i="1" s="1"/>
  <c r="F29" i="1"/>
  <c r="H29" i="1"/>
  <c r="I29" i="1"/>
  <c r="J29" i="1"/>
  <c r="G30" i="1"/>
  <c r="J30" i="1"/>
  <c r="G31" i="1"/>
  <c r="J31" i="1"/>
  <c r="E32" i="1"/>
  <c r="F32" i="1"/>
  <c r="G32" i="1"/>
  <c r="H32" i="1"/>
  <c r="I32" i="1"/>
  <c r="J32" i="1" s="1"/>
  <c r="F58" i="6"/>
  <c r="I57" i="1" l="1"/>
  <c r="F57" i="1"/>
  <c r="H57" i="1"/>
  <c r="E57" i="1"/>
  <c r="G12" i="1"/>
  <c r="G13" i="1"/>
  <c r="F12" i="1" l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H30" i="2" l="1"/>
  <c r="G80" i="2"/>
  <c r="I79" i="2"/>
  <c r="H80" i="2"/>
  <c r="H48" i="1"/>
  <c r="G30" i="2"/>
  <c r="J45" i="1"/>
  <c r="J40" i="1"/>
  <c r="J56" i="1"/>
  <c r="H65" i="1"/>
  <c r="J61" i="1"/>
  <c r="I65" i="1"/>
  <c r="I48" i="1"/>
  <c r="D33" i="10"/>
  <c r="G35" i="2" l="1"/>
  <c r="G55" i="2"/>
  <c r="G57" i="2" s="1"/>
  <c r="G58" i="2" s="1"/>
  <c r="I30" i="2"/>
  <c r="H55" i="2"/>
  <c r="H35" i="2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S24" i="1"/>
  <c r="R24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D30" i="2"/>
  <c r="F48" i="1"/>
  <c r="F16" i="1"/>
  <c r="E30" i="2"/>
  <c r="D17" i="1" l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<sst xmlns="http://schemas.openxmlformats.org/spreadsheetml/2006/main" count="309" uniqueCount="134">
  <si>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</si>
  <si>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</si>
  <si>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</si>
  <si>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</si>
  <si>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</si>
  <si>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</si>
  <si>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</si>
  <si>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</si>
  <si>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</si>
  <si>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</si>
  <si>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</si>
  <si>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</si>
  <si>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</si>
  <si>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</si>
  <si>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</si>
  <si>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</si>
  <si>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</si>
  <si>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</si>
  <si>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</si>
  <si>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</si>
  <si>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</si>
  <si>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</si>
  <si>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</si>
  <si>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</si>
  <si>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</si>
  <si>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</si>
  <si>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</si>
  <si>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</si>
  <si>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</si>
  <si>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</si>
  <si>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</si>
  <si>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</si>
  <si>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</si>
  <si>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</si>
  <si>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</si>
  <si>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</si>
  <si>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</si>
  <si>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</si>
  <si>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</si>
  <si>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</si>
  <si>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</si>
  <si>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</si>
  <si>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</si>
  <si>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</si>
  <si>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</si>
  <si>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</si>
  <si>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</si>
  <si>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</si>
  <si>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</si>
  <si>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</si>
  <si>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</si>
  <si>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</si>
  <si>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</si>
  <si>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</si>
  <si>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</si>
  <si>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</si>
  <si>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</si>
  <si>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</si>
  <si>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</si>
  <si>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</si>
  <si>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</si>
  <si>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</si>
  <si>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</si>
  <si>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</si>
  <si>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</si>
  <si>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</si>
  <si>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</si>
  <si>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</si>
  <si>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</si>
  <si>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</si>
  <si>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</si>
  <si>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</si>
  <si>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</si>
  <si>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</si>
  <si>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</si>
  <si>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</si>
  <si>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</si>
  <si>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</si>
  <si>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</si>
  <si>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</si>
  <si>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</si>
  <si>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</si>
  <si>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</si>
  <si>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</si>
  <si>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</si>
  <si>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</si>
  <si>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</si>
  <si>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</si>
  <si>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</si>
  <si>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</si>
  <si>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</si>
  <si>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</si>
  <si>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</si>
  <si>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</si>
  <si>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</si>
  <si>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</si>
  <si>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</si>
  <si>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</si>
  <si>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</si>
  <si>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</si>
  <si>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</si>
  <si>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</si>
  <si>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</si>
  <si>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</si>
  <si>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</si>
  <si>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</si>
  <si>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</si>
  <si>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</si>
  <si>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</si>
  <si>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</si>
  <si>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</si>
  <si>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</si>
  <si>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</si>
  <si>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</si>
  <si>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</si>
  <si>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</si>
  <si>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</si>
  <si>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</si>
  <si>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</si>
  <si>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</si>
  <si>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</si>
  <si>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</si>
  <si>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</si>
  <si>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</si>
  <si>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</si>
  <si>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dpaz</t>
  </si>
  <si>
    <t>Calor de proceso</t>
  </si>
  <si>
    <t>1. RESUMEN NACIONAL AL MES DE NOVIEMBRE 2022</t>
  </si>
  <si>
    <t>Noviembre</t>
  </si>
  <si>
    <t>Enero - Noviembre</t>
  </si>
  <si>
    <t>Grafico N° 11: Generación de energía eléctrica por Región, al mes de noviembre 2022</t>
  </si>
  <si>
    <t>Cuadro N° 8: Producción de energía eléctrica nacional por zona del país, al mes de noviembre</t>
  </si>
  <si>
    <t>3.2 Producción de energía eléctrica (GWh) por origen y zona al mes de noviembre 2022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</si>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</sst>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167" fontId="0" fillId="68" borderId="27" xfId="0" applyNumberFormat="1" applyFill="1" applyBorder="1" applyAlignment="1">
      <alignment vertical="center"/>
    </xf>
    <xf numFmtId="167" fontId="0" fillId="68" borderId="63" xfId="0" applyNumberFormat="1" applyFill="1" applyBorder="1" applyAlignment="1">
      <alignment vertical="center"/>
    </xf>
    <xf numFmtId="4" fontId="0" fillId="68" borderId="30" xfId="0" applyNumberFormat="1" applyFill="1" applyBorder="1"/>
    <xf numFmtId="9" fontId="96" fillId="68" borderId="34" xfId="33743" applyNumberFormat="1" applyFont="1" applyFill="1" applyBorder="1" applyAlignment="1">
      <alignment horizontal="center"/>
    </xf>
    <xf numFmtId="178" fontId="76" fillId="0" borderId="73" xfId="33743" applyNumberFormat="1" applyFont="1" applyBorder="1"/>
    <xf numFmtId="9" fontId="96" fillId="68" borderId="25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4" fontId="0" fillId="68" borderId="35" xfId="0" applyNumberFormat="1" applyFill="1" applyBorder="1"/>
    <xf numFmtId="167" fontId="0" fillId="68" borderId="83" xfId="0" applyNumberFormat="1" applyFill="1" applyBorder="1" applyAlignment="1">
      <alignment vertical="center"/>
    </xf>
    <xf numFmtId="178" fontId="96" fillId="68" borderId="34" xfId="33743" applyNumberFormat="1" applyFont="1" applyFill="1" applyBorder="1" applyAlignment="1">
      <alignment horizontal="center" vertical="center"/>
    </xf>
    <xf numFmtId="9" fontId="76" fillId="68" borderId="32" xfId="33743" applyNumberFormat="1" applyFon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2494.630345</c:v>
                </c:pt>
                <c:pt idx="1">
                  <c:v>2081.9941589801392</c:v>
                </c:pt>
                <c:pt idx="2">
                  <c:v>159.71653499999999</c:v>
                </c:pt>
                <c:pt idx="3">
                  <c:v>76.40237599999999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1856.4097927634612</c:v>
                </c:pt>
                <c:pt idx="1">
                  <c:v>3014.9863725255659</c:v>
                </c:pt>
                <c:pt idx="2">
                  <c:v>131.26231250250004</c:v>
                </c:pt>
                <c:pt idx="3">
                  <c:v>81.90981787999992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431616"/>
        <c:axId val="651731328"/>
      </c:barChart>
      <c:catAx>
        <c:axId val="62243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51731328"/>
        <c:crosses val="autoZero"/>
        <c:auto val="1"/>
        <c:lblAlgn val="ctr"/>
        <c:lblOffset val="100"/>
        <c:noMultiLvlLbl val="0"/>
      </c:catAx>
      <c:valAx>
        <c:axId val="6517313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224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1502.4163967933732</c:v>
                </c:pt>
                <c:pt idx="2" formatCode="_ * #,##0.00_ ;_ * \-#,##0.00_ ;_ * &quot;-&quot;??_ ;_ @_ ">
                  <c:v>6.4599999999999996E-3</c:v>
                </c:pt>
                <c:pt idx="3">
                  <c:v>2601.4815042802284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53.333147129999979</c:v>
                </c:pt>
                <c:pt idx="1">
                  <c:v>264.39431887585852</c:v>
                </c:pt>
                <c:pt idx="2">
                  <c:v>81.926727879999916</c:v>
                </c:pt>
                <c:pt idx="3">
                  <c:v>232.10513307841785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37.09329421360291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4103.9043610736016</c:v>
                </c:pt>
                <c:pt idx="1">
                  <c:v>631.75932696427628</c:v>
                </c:pt>
                <c:pt idx="2">
                  <c:v>311.81131342004682</c:v>
                </c:pt>
                <c:pt idx="3">
                  <c:v>37.09329421360291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4639104"/>
        <c:axId val="614647680"/>
      </c:barChart>
      <c:catAx>
        <c:axId val="6146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14647680"/>
        <c:crosses val="autoZero"/>
        <c:auto val="1"/>
        <c:lblAlgn val="ctr"/>
        <c:lblOffset val="100"/>
        <c:noMultiLvlLbl val="0"/>
      </c:catAx>
      <c:valAx>
        <c:axId val="6146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1463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MOQUEGUA</c:v>
                </c:pt>
                <c:pt idx="4">
                  <c:v>JUNIN</c:v>
                </c:pt>
                <c:pt idx="5">
                  <c:v>ANCASH</c:v>
                </c:pt>
                <c:pt idx="6">
                  <c:v>PIURA</c:v>
                </c:pt>
                <c:pt idx="7">
                  <c:v>CUSCO</c:v>
                </c:pt>
                <c:pt idx="8">
                  <c:v>AREQUIPA</c:v>
                </c:pt>
                <c:pt idx="9">
                  <c:v>ICA</c:v>
                </c:pt>
                <c:pt idx="10">
                  <c:v>LA LIBERTAD</c:v>
                </c:pt>
                <c:pt idx="11">
                  <c:v>HUANUCO</c:v>
                </c:pt>
                <c:pt idx="12">
                  <c:v>CAJAMARCA</c:v>
                </c:pt>
                <c:pt idx="13">
                  <c:v>PUNO</c:v>
                </c:pt>
                <c:pt idx="14">
                  <c:v>UCAYALI</c:v>
                </c:pt>
                <c:pt idx="15">
                  <c:v>PASCO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2643.2190107223319</c:v>
                </c:pt>
                <c:pt idx="1">
                  <c:v>646.75668926121375</c:v>
                </c:pt>
                <c:pt idx="2">
                  <c:v>347.55493421004735</c:v>
                </c:pt>
                <c:pt idx="3">
                  <c:v>208.13427307089714</c:v>
                </c:pt>
                <c:pt idx="4">
                  <c:v>149.01675342833337</c:v>
                </c:pt>
                <c:pt idx="5">
                  <c:v>146.8542084812355</c:v>
                </c:pt>
                <c:pt idx="6">
                  <c:v>137.98704572008114</c:v>
                </c:pt>
                <c:pt idx="7">
                  <c:v>136.1953816730479</c:v>
                </c:pt>
                <c:pt idx="8">
                  <c:v>100.73169929428532</c:v>
                </c:pt>
                <c:pt idx="9">
                  <c:v>95.642961712499968</c:v>
                </c:pt>
                <c:pt idx="10">
                  <c:v>88.355418532383965</c:v>
                </c:pt>
                <c:pt idx="11">
                  <c:v>74.303087626796781</c:v>
                </c:pt>
                <c:pt idx="12">
                  <c:v>71.080506833581936</c:v>
                </c:pt>
                <c:pt idx="13">
                  <c:v>65.207433106665249</c:v>
                </c:pt>
                <c:pt idx="14">
                  <c:v>58.151835897041721</c:v>
                </c:pt>
                <c:pt idx="15">
                  <c:v>38.047841446601716</c:v>
                </c:pt>
                <c:pt idx="16">
                  <c:v>37.09329421360291</c:v>
                </c:pt>
                <c:pt idx="17">
                  <c:v>22.245031773547346</c:v>
                </c:pt>
                <c:pt idx="18">
                  <c:v>6.9199443339997311</c:v>
                </c:pt>
                <c:pt idx="19">
                  <c:v>4.1802886666666677</c:v>
                </c:pt>
                <c:pt idx="20">
                  <c:v>2.4485810000000003</c:v>
                </c:pt>
                <c:pt idx="21">
                  <c:v>2.187561333333333</c:v>
                </c:pt>
                <c:pt idx="22">
                  <c:v>1.1005480000000001</c:v>
                </c:pt>
                <c:pt idx="23">
                  <c:v>1.0323533333333332</c:v>
                </c:pt>
                <c:pt idx="24">
                  <c:v>0.12161200000000001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614783232"/>
        <c:axId val="614785024"/>
      </c:barChart>
      <c:catAx>
        <c:axId val="6147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614785024"/>
        <c:crosses val="autoZero"/>
        <c:auto val="1"/>
        <c:lblAlgn val="ctr"/>
        <c:lblOffset val="100"/>
        <c:noMultiLvlLbl val="0"/>
      </c:catAx>
      <c:valAx>
        <c:axId val="614785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6147832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159.58620398013929</c:v>
                </c:pt>
                <c:pt idx="1">
                  <c:v>150.16141674626198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4653.1572109999997</c:v>
                </c:pt>
                <c:pt idx="1">
                  <c:v>4934.406878925266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423424"/>
        <c:axId val="576424960"/>
        <c:axId val="572194304"/>
      </c:bar3DChart>
      <c:catAx>
        <c:axId val="5764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6424960"/>
        <c:crosses val="autoZero"/>
        <c:auto val="1"/>
        <c:lblAlgn val="ctr"/>
        <c:lblOffset val="100"/>
        <c:noMultiLvlLbl val="0"/>
      </c:catAx>
      <c:valAx>
        <c:axId val="5764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6423424"/>
        <c:crosses val="autoZero"/>
        <c:crossBetween val="between"/>
      </c:valAx>
      <c:serAx>
        <c:axId val="57219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642496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2298.1680067750003</c:v>
                </c:pt>
                <c:pt idx="1">
                  <c:v>1742.9195691184611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2026.4619039801391</c:v>
                </c:pt>
                <c:pt idx="1">
                  <c:v>2956.370397268035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196.46233822499971</c:v>
                </c:pt>
                <c:pt idx="1">
                  <c:v>113.49022364500007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291.65116599999993</c:v>
                </c:pt>
                <c:pt idx="1">
                  <c:v>271.78810564003118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76873984"/>
        <c:axId val="576875520"/>
        <c:axId val="0"/>
      </c:bar3DChart>
      <c:catAx>
        <c:axId val="5768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6875520"/>
        <c:crosses val="autoZero"/>
        <c:auto val="1"/>
        <c:lblAlgn val="ctr"/>
        <c:lblOffset val="100"/>
        <c:noMultiLvlLbl val="0"/>
      </c:catAx>
      <c:valAx>
        <c:axId val="5768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687398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Noviembre 2022 </a:t>
            </a:r>
          </a:p>
          <a:p>
            <a:pPr>
              <a:defRPr sz="900"/>
            </a:pPr>
            <a:r>
              <a:rPr lang="en-US" sz="900"/>
              <a:t>Total: 5 085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59-45F3-B6E1-FF010DFCCF1C}"/>
                </c:ext>
              </c:extLst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59-45F3-B6E1-FF010DFCCF1C}"/>
                </c:ext>
              </c:extLst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30.228771363771756</c:v>
                </c:pt>
                <c:pt idx="1">
                  <c:v>98.404298269299559</c:v>
                </c:pt>
                <c:pt idx="2">
                  <c:v>1826.1810213996894</c:v>
                </c:pt>
                <c:pt idx="3">
                  <c:v>2916.5820742562664</c:v>
                </c:pt>
                <c:pt idx="4">
                  <c:v>213.17213038249997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1856.4097927634612</c:v>
                </c:pt>
                <c:pt idx="1">
                  <c:v>2868.059587346745</c:v>
                </c:pt>
                <c:pt idx="2">
                  <c:v>86.743474431005779</c:v>
                </c:pt>
                <c:pt idx="3">
                  <c:v>58.615975257531204</c:v>
                </c:pt>
                <c:pt idx="4">
                  <c:v>131.26231250250004</c:v>
                </c:pt>
                <c:pt idx="5">
                  <c:v>81.90981787999992</c:v>
                </c:pt>
                <c:pt idx="6">
                  <c:v>1.5673354902855268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722432"/>
        <c:axId val="602670592"/>
      </c:barChart>
      <c:catAx>
        <c:axId val="5787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2670592"/>
        <c:crosses val="autoZero"/>
        <c:auto val="1"/>
        <c:lblAlgn val="ctr"/>
        <c:lblOffset val="100"/>
        <c:noMultiLvlLbl val="0"/>
      </c:catAx>
      <c:valAx>
        <c:axId val="6026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7872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4521.0922489801396</c:v>
                </c:pt>
                <c:pt idx="1">
                  <c:v>4812.7801900314971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291.65116599999993</c:v>
                </c:pt>
                <c:pt idx="1">
                  <c:v>271.78810564003118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08863360"/>
        <c:axId val="608864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6.059977456770433E-2</c:v>
                </c:pt>
                <c:pt idx="1">
                  <c:v>5.3453526402900964E-2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76800"/>
        <c:axId val="608875264"/>
      </c:lineChart>
      <c:catAx>
        <c:axId val="6088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8864896"/>
        <c:crosses val="autoZero"/>
        <c:auto val="1"/>
        <c:lblAlgn val="ctr"/>
        <c:lblOffset val="100"/>
        <c:noMultiLvlLbl val="1"/>
      </c:catAx>
      <c:valAx>
        <c:axId val="608864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8863360"/>
        <c:crosses val="autoZero"/>
        <c:crossBetween val="between"/>
        <c:majorUnit val="1000"/>
      </c:valAx>
      <c:valAx>
        <c:axId val="6088752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8876800"/>
        <c:crosses val="max"/>
        <c:crossBetween val="between"/>
      </c:valAx>
      <c:catAx>
        <c:axId val="60887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60887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2494.630345</c:v>
                </c:pt>
                <c:pt idx="1">
                  <c:v>1946.9762970000002</c:v>
                </c:pt>
                <c:pt idx="2">
                  <c:v>77.482756980139129</c:v>
                </c:pt>
                <c:pt idx="3" formatCode="#,##0.00">
                  <c:v>2.00285</c:v>
                </c:pt>
                <c:pt idx="4">
                  <c:v>55.532254999999964</c:v>
                </c:pt>
                <c:pt idx="5">
                  <c:v>159.71653499999999</c:v>
                </c:pt>
                <c:pt idx="6">
                  <c:v>76.40237599999999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1856.4097927634612</c:v>
                </c:pt>
                <c:pt idx="1">
                  <c:v>2868.059587346745</c:v>
                </c:pt>
                <c:pt idx="2">
                  <c:v>86.743474431005779</c:v>
                </c:pt>
                <c:pt idx="3" formatCode="#,##0.00">
                  <c:v>1.5673354902855268</c:v>
                </c:pt>
                <c:pt idx="4">
                  <c:v>58.615975257531204</c:v>
                </c:pt>
                <c:pt idx="5">
                  <c:v>131.26231250250004</c:v>
                </c:pt>
                <c:pt idx="6">
                  <c:v>81.90981787999992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77.929165372500051</c:v>
                </c:pt>
                <c:pt idx="1">
                  <c:v>89.599077094229301</c:v>
                </c:pt>
                <c:pt idx="2">
                  <c:v>0</c:v>
                </c:pt>
                <c:pt idx="3">
                  <c:v>144.28307095331746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noviembre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00" zoomScaleSheetLayoutView="110" workbookViewId="0">
      <selection activeCell="B1" sqref="B1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19" ht="15">
      <c r="B2" s="1" t="s">
        <v>127</v>
      </c>
      <c r="C2" s="2"/>
      <c r="D2" s="1"/>
      <c r="E2" s="1"/>
      <c r="F2" s="1"/>
      <c r="G2" s="1"/>
      <c r="H2" s="1"/>
      <c r="I2" s="1"/>
      <c r="J2" s="1"/>
      <c r="K2" s="1"/>
    </row>
    <row r="3" spans="2:19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19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19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19">
      <c r="C6" s="5" t="s">
        <v>113</v>
      </c>
    </row>
    <row r="8" spans="2:19">
      <c r="C8" s="69"/>
      <c r="D8" s="69"/>
      <c r="E8" s="69"/>
      <c r="F8" s="69"/>
      <c r="G8" s="69"/>
    </row>
    <row r="9" spans="2:19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19" ht="13.5" thickBot="1">
      <c r="C10" s="155" t="s">
        <v>63</v>
      </c>
      <c r="D10" s="156"/>
      <c r="E10" s="157"/>
      <c r="F10" s="158"/>
      <c r="G10" s="159"/>
    </row>
    <row r="11" spans="2:19" ht="13.5" thickTop="1">
      <c r="C11" s="69"/>
      <c r="D11" s="106"/>
      <c r="E11" s="107"/>
      <c r="F11" s="108"/>
      <c r="G11" s="109"/>
      <c r="Q11" s="325" t="s">
        <v>64</v>
      </c>
      <c r="R11" s="41" t="s">
        <v>41</v>
      </c>
      <c r="S11" s="54">
        <f>E12</f>
        <v>30.228771363771756</v>
      </c>
    </row>
    <row r="12" spans="2:19">
      <c r="C12" s="110" t="s">
        <v>66</v>
      </c>
      <c r="D12" s="111">
        <v>1826.1810213996894</v>
      </c>
      <c r="E12" s="112">
        <v>30.228771363771756</v>
      </c>
      <c r="F12" s="113">
        <f>SUM(D12:E12)</f>
        <v>1856.4097927634612</v>
      </c>
      <c r="G12" s="352">
        <f>(F12/F$16)-0.001</f>
        <v>0.36410666880879855</v>
      </c>
      <c r="Q12" s="325"/>
      <c r="R12" s="41" t="s">
        <v>73</v>
      </c>
      <c r="S12" s="54">
        <f>E13</f>
        <v>98.404298269299559</v>
      </c>
    </row>
    <row r="13" spans="2:19">
      <c r="C13" s="110" t="s">
        <v>65</v>
      </c>
      <c r="D13" s="111">
        <v>2916.5820742562664</v>
      </c>
      <c r="E13" s="112">
        <v>98.404298269299559</v>
      </c>
      <c r="F13" s="113">
        <f>SUM(D13:E13)</f>
        <v>3014.9863725255659</v>
      </c>
      <c r="G13" s="352">
        <f>(F13/F$16)</f>
        <v>0.59296801561151458</v>
      </c>
      <c r="Q13" s="325" t="s">
        <v>88</v>
      </c>
      <c r="R13" s="41" t="s">
        <v>41</v>
      </c>
      <c r="S13" s="54">
        <f>D12</f>
        <v>1826.1810213996894</v>
      </c>
    </row>
    <row r="14" spans="2:19">
      <c r="C14" s="110" t="s">
        <v>67</v>
      </c>
      <c r="D14" s="111">
        <v>131.26231250250004</v>
      </c>
      <c r="E14" s="114"/>
      <c r="F14" s="113">
        <f>SUM(D14:E14)</f>
        <v>131.26231250250004</v>
      </c>
      <c r="G14" s="352">
        <f>(F14/F$16)</f>
        <v>2.5815822478821485E-2</v>
      </c>
      <c r="Q14" s="325"/>
      <c r="R14" s="41" t="s">
        <v>73</v>
      </c>
      <c r="S14" s="54">
        <f>D13</f>
        <v>2916.5820742562664</v>
      </c>
    </row>
    <row r="15" spans="2:19" ht="13.5" thickBot="1">
      <c r="C15" s="115" t="s">
        <v>5</v>
      </c>
      <c r="D15" s="116">
        <v>81.90981787999992</v>
      </c>
      <c r="E15" s="117"/>
      <c r="F15" s="118">
        <f>SUM(D15:E15)</f>
        <v>81.90981787999992</v>
      </c>
      <c r="G15" s="353">
        <f>(F15/F$16)</f>
        <v>1.6109493100865502E-2</v>
      </c>
      <c r="Q15" s="325"/>
      <c r="R15" s="41" t="s">
        <v>87</v>
      </c>
      <c r="S15" s="54">
        <f>SUM(D14:D15)</f>
        <v>213.17213038249997</v>
      </c>
    </row>
    <row r="16" spans="2:19" ht="13.5" thickTop="1">
      <c r="C16" s="211" t="s">
        <v>71</v>
      </c>
      <c r="D16" s="212">
        <f>SUM(D12:D15)</f>
        <v>4955.9352260384558</v>
      </c>
      <c r="E16" s="213">
        <f>SUM(E12:E15)</f>
        <v>128.63306963307133</v>
      </c>
      <c r="F16" s="214">
        <f>SUM(F12:F15)</f>
        <v>5084.5682956715264</v>
      </c>
      <c r="G16" s="215"/>
    </row>
    <row r="17" spans="3:19">
      <c r="C17" s="216" t="s">
        <v>109</v>
      </c>
      <c r="D17" s="271">
        <f>D16/F16</f>
        <v>0.97470128000000011</v>
      </c>
      <c r="E17" s="272">
        <f>E16/F16</f>
        <v>2.5298720000000035E-2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118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1" t="s">
        <v>112</v>
      </c>
      <c r="D23" s="322"/>
      <c r="E23" s="326" t="s">
        <v>128</v>
      </c>
      <c r="F23" s="327"/>
      <c r="G23" s="122" t="s">
        <v>74</v>
      </c>
      <c r="H23" s="328" t="s">
        <v>129</v>
      </c>
      <c r="I23" s="329"/>
      <c r="J23" s="122" t="s">
        <v>74</v>
      </c>
      <c r="Q23" s="41"/>
      <c r="R23" s="41">
        <v>2021</v>
      </c>
      <c r="S23" s="41">
        <v>2022</v>
      </c>
    </row>
    <row r="24" spans="3:19" ht="12.75" customHeight="1">
      <c r="C24" s="123"/>
      <c r="D24" s="124"/>
      <c r="E24" s="125">
        <v>2021</v>
      </c>
      <c r="F24" s="126">
        <v>2022</v>
      </c>
      <c r="G24" s="127"/>
      <c r="H24" s="201">
        <v>2021</v>
      </c>
      <c r="I24" s="126">
        <v>2022</v>
      </c>
      <c r="J24" s="127"/>
      <c r="Q24" s="41" t="s">
        <v>76</v>
      </c>
      <c r="R24" s="54">
        <f>E29</f>
        <v>159.58620398013929</v>
      </c>
      <c r="S24" s="54">
        <f>F29</f>
        <v>150.16141674626198</v>
      </c>
    </row>
    <row r="25" spans="3:19">
      <c r="C25" s="317" t="s">
        <v>0</v>
      </c>
      <c r="D25" s="318"/>
      <c r="E25" s="160">
        <f>SUM(E26:E28)</f>
        <v>4653.1572109999997</v>
      </c>
      <c r="F25" s="161">
        <f>SUM(F26:F28)</f>
        <v>4934.406878925266</v>
      </c>
      <c r="G25" s="162">
        <f>((F25/E25)-1)</f>
        <v>6.0442760726071354E-2</v>
      </c>
      <c r="H25" s="202">
        <f>SUM(H26:H28)</f>
        <v>50721.157711000007</v>
      </c>
      <c r="I25" s="161">
        <f>SUM(I26:I28)</f>
        <v>52480.609731387522</v>
      </c>
      <c r="J25" s="162">
        <f>((I25/H25)-1)</f>
        <v>3.4688719654479394E-2</v>
      </c>
      <c r="Q25" s="41" t="s">
        <v>0</v>
      </c>
      <c r="R25" s="54">
        <f>E25</f>
        <v>4653.1572109999997</v>
      </c>
      <c r="S25" s="54">
        <f>F25</f>
        <v>4934.406878925266</v>
      </c>
    </row>
    <row r="26" spans="3:19">
      <c r="C26" s="229" t="s">
        <v>62</v>
      </c>
      <c r="D26" s="238" t="s">
        <v>102</v>
      </c>
      <c r="E26" s="113">
        <v>4536.7789589999993</v>
      </c>
      <c r="F26" s="129">
        <v>4832.0368453874944</v>
      </c>
      <c r="G26" s="130">
        <f t="shared" ref="G26:G32" si="0">((F26/E26)-1)</f>
        <v>6.5080950395823622E-2</v>
      </c>
      <c r="H26" s="203">
        <v>49335.019393000002</v>
      </c>
      <c r="I26" s="129">
        <v>51071.2096622725</v>
      </c>
      <c r="J26" s="130">
        <f t="shared" ref="J26:J32" si="1">((I26/H26)-1)</f>
        <v>3.5191843251182409E-2</v>
      </c>
    </row>
    <row r="27" spans="3:19">
      <c r="C27" s="230" t="s">
        <v>106</v>
      </c>
      <c r="D27" s="239" t="s">
        <v>77</v>
      </c>
      <c r="E27" s="232">
        <v>79.532349000000011</v>
      </c>
      <c r="F27" s="233">
        <v>81.987284335755135</v>
      </c>
      <c r="G27" s="241">
        <f t="shared" si="0"/>
        <v>3.086712974811201E-2</v>
      </c>
      <c r="H27" s="234">
        <v>942.06680300000005</v>
      </c>
      <c r="I27" s="233">
        <v>1146.9507892997178</v>
      </c>
      <c r="J27" s="241">
        <f t="shared" si="1"/>
        <v>0.21748350079555645</v>
      </c>
    </row>
    <row r="28" spans="3:19">
      <c r="C28" s="231" t="s">
        <v>64</v>
      </c>
      <c r="D28" s="240" t="s">
        <v>77</v>
      </c>
      <c r="E28" s="113">
        <v>36.845903</v>
      </c>
      <c r="F28" s="129">
        <v>20.382749202015969</v>
      </c>
      <c r="G28" s="130">
        <f t="shared" si="0"/>
        <v>-0.44681097374609147</v>
      </c>
      <c r="H28" s="203">
        <v>444.07151499999998</v>
      </c>
      <c r="I28" s="129">
        <v>262.44927981530213</v>
      </c>
      <c r="J28" s="130">
        <f t="shared" si="1"/>
        <v>-0.40899321179089332</v>
      </c>
    </row>
    <row r="29" spans="3:19">
      <c r="C29" s="317" t="s">
        <v>76</v>
      </c>
      <c r="D29" s="318"/>
      <c r="E29" s="160">
        <f>SUM(E30:E31)</f>
        <v>159.58620398013929</v>
      </c>
      <c r="F29" s="161">
        <f>SUM(F30:F31)</f>
        <v>150.16141674626198</v>
      </c>
      <c r="G29" s="162">
        <f t="shared" si="0"/>
        <v>-5.9057656607022446E-2</v>
      </c>
      <c r="H29" s="202">
        <f>SUM(H30:H31)</f>
        <v>1684.0853167815314</v>
      </c>
      <c r="I29" s="161">
        <f>SUM(I30:I31)</f>
        <v>1679.8063798198486</v>
      </c>
      <c r="J29" s="162">
        <f t="shared" si="1"/>
        <v>-2.5408077126759521E-3</v>
      </c>
      <c r="Q29" s="41"/>
      <c r="R29" s="41"/>
      <c r="S29" s="41"/>
    </row>
    <row r="30" spans="3:19">
      <c r="C30" s="235" t="s">
        <v>68</v>
      </c>
      <c r="D30" s="124"/>
      <c r="E30" s="313">
        <v>41.94711400000002</v>
      </c>
      <c r="F30" s="354">
        <v>41.911096315206642</v>
      </c>
      <c r="G30" s="307">
        <f t="shared" si="0"/>
        <v>-8.5864512141120564E-4</v>
      </c>
      <c r="H30" s="203">
        <v>442.68347399999999</v>
      </c>
      <c r="I30" s="129">
        <v>456.44265571461807</v>
      </c>
      <c r="J30" s="130">
        <f t="shared" si="1"/>
        <v>3.1081308706405686E-2</v>
      </c>
    </row>
    <row r="31" spans="3:19" ht="13.5" thickBot="1">
      <c r="C31" s="236" t="s">
        <v>64</v>
      </c>
      <c r="D31" s="237"/>
      <c r="E31" s="118">
        <v>117.63908998013926</v>
      </c>
      <c r="F31" s="132">
        <v>108.25032043105534</v>
      </c>
      <c r="G31" s="133">
        <f t="shared" si="0"/>
        <v>-7.9809947107453816E-2</v>
      </c>
      <c r="H31" s="204">
        <v>1241.4018427815315</v>
      </c>
      <c r="I31" s="132">
        <v>1223.3637241052306</v>
      </c>
      <c r="J31" s="314">
        <f t="shared" si="1"/>
        <v>-1.4530442967511603E-2</v>
      </c>
    </row>
    <row r="32" spans="3:19" ht="14.25" thickTop="1" thickBot="1">
      <c r="C32" s="319" t="s">
        <v>108</v>
      </c>
      <c r="D32" s="320"/>
      <c r="E32" s="163">
        <f>SUM(E25,E29)</f>
        <v>4812.7434149801393</v>
      </c>
      <c r="F32" s="164">
        <f>SUM(F25,F29)</f>
        <v>5084.5682956715282</v>
      </c>
      <c r="G32" s="165">
        <f t="shared" si="0"/>
        <v>5.6480235336317186E-2</v>
      </c>
      <c r="H32" s="205">
        <f>SUM(H25,H29)</f>
        <v>52405.243027781537</v>
      </c>
      <c r="I32" s="164">
        <f>SUM(I25,I29)</f>
        <v>54160.416111207371</v>
      </c>
      <c r="J32" s="165">
        <f t="shared" si="1"/>
        <v>3.3492318363934848E-2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120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26" t="s">
        <v>128</v>
      </c>
      <c r="F38" s="327"/>
      <c r="G38" s="323" t="s">
        <v>74</v>
      </c>
      <c r="H38" s="328" t="s">
        <v>129</v>
      </c>
      <c r="I38" s="329"/>
      <c r="J38" s="323" t="s">
        <v>74</v>
      </c>
      <c r="Q38" s="41"/>
      <c r="R38" s="41">
        <v>2021</v>
      </c>
      <c r="S38" s="41">
        <v>2022</v>
      </c>
    </row>
    <row r="39" spans="3:19" ht="12.75" customHeight="1">
      <c r="C39" s="123" t="s">
        <v>75</v>
      </c>
      <c r="D39" s="124"/>
      <c r="E39" s="125">
        <v>2021</v>
      </c>
      <c r="F39" s="126">
        <v>2022</v>
      </c>
      <c r="G39" s="324"/>
      <c r="H39" s="201">
        <v>2021</v>
      </c>
      <c r="I39" s="126">
        <v>2022</v>
      </c>
      <c r="J39" s="324"/>
      <c r="Q39" s="41" t="s">
        <v>66</v>
      </c>
      <c r="R39" s="54">
        <f>SUM(E41,E46)</f>
        <v>2494.630345</v>
      </c>
      <c r="S39" s="54">
        <f>SUM(F41,F46)</f>
        <v>1856.4097927634612</v>
      </c>
    </row>
    <row r="40" spans="3:19">
      <c r="C40" s="317" t="s">
        <v>68</v>
      </c>
      <c r="D40" s="318"/>
      <c r="E40" s="160">
        <f>SUM(E41:E44)</f>
        <v>4658.258421999999</v>
      </c>
      <c r="F40" s="161">
        <f>SUM(F41:F44)</f>
        <v>4955.9352260384558</v>
      </c>
      <c r="G40" s="162">
        <f>((F40/E40)-1)</f>
        <v>6.3903024922917551E-2</v>
      </c>
      <c r="H40" s="202">
        <f>SUM(H41:H44)</f>
        <v>50719.769670000001</v>
      </c>
      <c r="I40" s="161">
        <f>SUM(I41:I44)</f>
        <v>52674.603107286828</v>
      </c>
      <c r="J40" s="162">
        <f>((I40/H40)-1)</f>
        <v>3.8541843742698978E-2</v>
      </c>
      <c r="Q40" s="41" t="s">
        <v>65</v>
      </c>
      <c r="R40" s="54">
        <f>SUM(E42,E47)</f>
        <v>2081.9941589801392</v>
      </c>
      <c r="S40" s="54">
        <f>SUM(F42,F47)</f>
        <v>3014.9863725255659</v>
      </c>
    </row>
    <row r="41" spans="3:19">
      <c r="C41" s="128" t="s">
        <v>66</v>
      </c>
      <c r="D41" s="69"/>
      <c r="E41" s="113">
        <v>2446.3562710000001</v>
      </c>
      <c r="F41" s="129">
        <f>D12</f>
        <v>1826.1810213996894</v>
      </c>
      <c r="G41" s="130">
        <f t="shared" ref="G41:G48" si="2">((F41/E41)-1)</f>
        <v>-0.25350978389864731</v>
      </c>
      <c r="H41" s="203">
        <v>28295.105930999998</v>
      </c>
      <c r="I41" s="129">
        <v>27056.394511405557</v>
      </c>
      <c r="J41" s="130">
        <f t="shared" ref="J41:J48" si="3">((I41/H41)-1)</f>
        <v>-4.3778292352576575E-2</v>
      </c>
      <c r="Q41" s="41" t="s">
        <v>67</v>
      </c>
      <c r="R41" s="54">
        <f>E43</f>
        <v>159.71653499999999</v>
      </c>
      <c r="S41" s="54">
        <f>F43</f>
        <v>131.26231250250004</v>
      </c>
    </row>
    <row r="42" spans="3:19">
      <c r="C42" s="128" t="s">
        <v>65</v>
      </c>
      <c r="D42" s="69"/>
      <c r="E42" s="113">
        <v>1975.7832399999998</v>
      </c>
      <c r="F42" s="129">
        <f>D13</f>
        <v>2916.5820742562664</v>
      </c>
      <c r="G42" s="130">
        <f t="shared" si="2"/>
        <v>0.47616500393852257</v>
      </c>
      <c r="H42" s="203">
        <v>20018.469948999998</v>
      </c>
      <c r="I42" s="129">
        <v>23074.80010862877</v>
      </c>
      <c r="J42" s="130">
        <f t="shared" si="3"/>
        <v>0.15267551253493505</v>
      </c>
      <c r="Q42" s="41" t="s">
        <v>5</v>
      </c>
      <c r="R42" s="54">
        <f>E44</f>
        <v>76.40237599999999</v>
      </c>
      <c r="S42" s="54">
        <f>F44</f>
        <v>81.90981787999992</v>
      </c>
    </row>
    <row r="43" spans="3:19">
      <c r="C43" s="128" t="s">
        <v>67</v>
      </c>
      <c r="D43" s="69"/>
      <c r="E43" s="113">
        <v>159.71653499999999</v>
      </c>
      <c r="F43" s="129">
        <f>D14</f>
        <v>131.26231250250004</v>
      </c>
      <c r="G43" s="130">
        <f t="shared" si="2"/>
        <v>-0.17815451917673997</v>
      </c>
      <c r="H43" s="203">
        <v>1678.1011079999998</v>
      </c>
      <c r="I43" s="129">
        <v>1794.7350727575001</v>
      </c>
      <c r="J43" s="130">
        <f t="shared" si="3"/>
        <v>6.9503538375293328E-2</v>
      </c>
    </row>
    <row r="44" spans="3:19">
      <c r="C44" s="128" t="s">
        <v>5</v>
      </c>
      <c r="D44" s="69"/>
      <c r="E44" s="113">
        <v>76.40237599999999</v>
      </c>
      <c r="F44" s="129">
        <f>D15</f>
        <v>81.90981787999992</v>
      </c>
      <c r="G44" s="310">
        <f t="shared" si="2"/>
        <v>7.2084693805856581E-2</v>
      </c>
      <c r="H44" s="203">
        <v>728.09268200000008</v>
      </c>
      <c r="I44" s="129">
        <v>748.67341449499986</v>
      </c>
      <c r="J44" s="130">
        <f t="shared" si="3"/>
        <v>2.8266638305533442E-2</v>
      </c>
      <c r="Q44" s="41"/>
      <c r="R44" s="41"/>
      <c r="S44" s="41"/>
    </row>
    <row r="45" spans="3:19">
      <c r="C45" s="317" t="s">
        <v>64</v>
      </c>
      <c r="D45" s="318"/>
      <c r="E45" s="160">
        <f>SUM(E46:E47)</f>
        <v>154.48499298013931</v>
      </c>
      <c r="F45" s="161">
        <f>SUM(F46:F47)</f>
        <v>128.63306963307133</v>
      </c>
      <c r="G45" s="162">
        <f t="shared" si="2"/>
        <v>-0.16734261916554916</v>
      </c>
      <c r="H45" s="202">
        <f>SUM(H46:H47)</f>
        <v>1685.4733577815318</v>
      </c>
      <c r="I45" s="161">
        <f>SUM(I46:I47)</f>
        <v>1485.8130039205328</v>
      </c>
      <c r="J45" s="162">
        <f t="shared" si="3"/>
        <v>-0.11845951342938921</v>
      </c>
    </row>
    <row r="46" spans="3:19">
      <c r="C46" s="128" t="s">
        <v>66</v>
      </c>
      <c r="D46" s="69"/>
      <c r="E46" s="113">
        <v>48.274073999999999</v>
      </c>
      <c r="F46" s="129">
        <f>E12</f>
        <v>30.228771363771756</v>
      </c>
      <c r="G46" s="130">
        <f t="shared" si="2"/>
        <v>-0.37380939997374663</v>
      </c>
      <c r="H46" s="203">
        <v>574.56831999999997</v>
      </c>
      <c r="I46" s="129">
        <v>388.1586458339936</v>
      </c>
      <c r="J46" s="130">
        <f t="shared" si="3"/>
        <v>-0.32443430602997114</v>
      </c>
    </row>
    <row r="47" spans="3:19" ht="13.5" thickBot="1">
      <c r="C47" s="131" t="s">
        <v>65</v>
      </c>
      <c r="D47" s="69"/>
      <c r="E47" s="118">
        <v>106.21091898013931</v>
      </c>
      <c r="F47" s="132">
        <f>E13</f>
        <v>98.404298269299559</v>
      </c>
      <c r="G47" s="133">
        <f t="shared" si="2"/>
        <v>-7.3501112557923909E-2</v>
      </c>
      <c r="H47" s="204">
        <v>1110.905037781532</v>
      </c>
      <c r="I47" s="132">
        <v>1097.6543580865391</v>
      </c>
      <c r="J47" s="133">
        <f t="shared" si="3"/>
        <v>-1.1927823931246473E-2</v>
      </c>
    </row>
    <row r="48" spans="3:19" ht="14.25" thickTop="1" thickBot="1">
      <c r="C48" s="319" t="s">
        <v>108</v>
      </c>
      <c r="D48" s="320"/>
      <c r="E48" s="163">
        <f>SUM(E40,E45)</f>
        <v>4812.7434149801384</v>
      </c>
      <c r="F48" s="164">
        <f>SUM(F40,F45)</f>
        <v>5084.5682956715273</v>
      </c>
      <c r="G48" s="165">
        <f t="shared" si="2"/>
        <v>5.6480235336317186E-2</v>
      </c>
      <c r="H48" s="205">
        <f>SUM(H40,H45)</f>
        <v>52405.243027781537</v>
      </c>
      <c r="I48" s="164">
        <f>SUM(I40,I45)</f>
        <v>54160.416111207363</v>
      </c>
      <c r="J48" s="165">
        <f t="shared" si="3"/>
        <v>3.3492318363934626E-2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119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26" t="s">
        <v>128</v>
      </c>
      <c r="F54" s="327"/>
      <c r="G54" s="323" t="s">
        <v>74</v>
      </c>
      <c r="H54" s="328" t="s">
        <v>129</v>
      </c>
      <c r="I54" s="329"/>
      <c r="J54" s="323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2021</v>
      </c>
      <c r="F55" s="126">
        <v>2022</v>
      </c>
      <c r="G55" s="324"/>
      <c r="H55" s="201">
        <v>2021</v>
      </c>
      <c r="I55" s="126">
        <v>2022</v>
      </c>
      <c r="J55" s="324"/>
      <c r="L55" s="36"/>
      <c r="M55" s="36"/>
    </row>
    <row r="56" spans="3:23">
      <c r="C56" s="317" t="s">
        <v>68</v>
      </c>
      <c r="D56" s="318"/>
      <c r="E56" s="160">
        <f>SUM(E57:E60)</f>
        <v>4658.2584219999999</v>
      </c>
      <c r="F56" s="161">
        <f>SUM(F57:F60)</f>
        <v>4955.9352260384567</v>
      </c>
      <c r="G56" s="162">
        <f>((F56/E56)-1)</f>
        <v>6.3903024922917551E-2</v>
      </c>
      <c r="H56" s="202">
        <f>SUM(H57:H60)</f>
        <v>50719.769669999994</v>
      </c>
      <c r="I56" s="161">
        <f>SUM(I57:I60)</f>
        <v>52674.603107286828</v>
      </c>
      <c r="J56" s="162">
        <f>((I56/H56)-1)</f>
        <v>3.85418437426992E-2</v>
      </c>
    </row>
    <row r="57" spans="3:23" ht="25.5">
      <c r="C57" s="331" t="s">
        <v>78</v>
      </c>
      <c r="D57" s="242" t="s">
        <v>79</v>
      </c>
      <c r="E57" s="276">
        <f>SUM(E43:E44)+34.735639</f>
        <v>270.85454999999996</v>
      </c>
      <c r="F57" s="277">
        <f>SUM(F43:F44)+39.5549408217619</f>
        <v>252.72707120426188</v>
      </c>
      <c r="G57" s="140">
        <f t="shared" ref="G57:G65" si="4">((F57/E57)-1)</f>
        <v>-6.6926986442495062E-2</v>
      </c>
      <c r="H57" s="219">
        <f>SUM(H43:H44)+327.709478</f>
        <v>2733.903268</v>
      </c>
      <c r="I57" s="277">
        <f>SUM(I43:I44)+323.251516614262</f>
        <v>2866.6600038667621</v>
      </c>
      <c r="J57" s="140">
        <f t="shared" ref="J57:J65" si="5">((I57/H57)-1)</f>
        <v>4.8559412258898593E-2</v>
      </c>
      <c r="L57" s="36"/>
      <c r="Q57" s="41"/>
      <c r="R57" s="41"/>
      <c r="T57" s="41">
        <v>2021</v>
      </c>
      <c r="U57" s="41">
        <v>2022</v>
      </c>
      <c r="V57" s="41"/>
      <c r="W57" s="41"/>
    </row>
    <row r="58" spans="3:23" ht="13.5">
      <c r="C58" s="332"/>
      <c r="D58" s="243" t="s">
        <v>110</v>
      </c>
      <c r="E58" s="232">
        <v>196.46233822499971</v>
      </c>
      <c r="F58" s="280">
        <v>113.49022364500007</v>
      </c>
      <c r="G58" s="241">
        <f t="shared" si="4"/>
        <v>-0.42233089216812292</v>
      </c>
      <c r="H58" s="234">
        <v>2081.2122076024989</v>
      </c>
      <c r="I58" s="233">
        <v>1860.5457942275002</v>
      </c>
      <c r="J58" s="241">
        <f t="shared" si="5"/>
        <v>-0.10602782963165513</v>
      </c>
      <c r="L58" s="36"/>
      <c r="M58" s="36"/>
      <c r="Q58" s="325" t="s">
        <v>80</v>
      </c>
      <c r="R58" s="41" t="s">
        <v>66</v>
      </c>
      <c r="T58" s="54">
        <f>SUM(E60,E64)</f>
        <v>2298.1680067750003</v>
      </c>
      <c r="U58" s="54">
        <f>SUM(F60,F64)</f>
        <v>1742.9195691184611</v>
      </c>
      <c r="V58" s="119">
        <f t="shared" ref="V58:W61" si="6">T58/T$64</f>
        <v>0.47751725130862482</v>
      </c>
      <c r="W58" s="119">
        <f t="shared" si="6"/>
        <v>0.3427861457977075</v>
      </c>
    </row>
    <row r="59" spans="3:23">
      <c r="C59" s="330" t="s">
        <v>80</v>
      </c>
      <c r="D59" s="244" t="s">
        <v>81</v>
      </c>
      <c r="E59" s="113">
        <f>SUM(E42:E44)-E57</f>
        <v>1941.0476009999998</v>
      </c>
      <c r="F59" s="129">
        <f>SUM(F42:F44)-F57</f>
        <v>2877.0271334345048</v>
      </c>
      <c r="G59" s="130">
        <f t="shared" si="4"/>
        <v>0.48220328648936883</v>
      </c>
      <c r="H59" s="203">
        <f>SUM(H42:H44)-H57</f>
        <v>19690.760470999994</v>
      </c>
      <c r="I59" s="129">
        <f>SUM(I42:I44)-I57</f>
        <v>22751.548592014507</v>
      </c>
      <c r="J59" s="130">
        <f t="shared" si="5"/>
        <v>0.15544285988966022</v>
      </c>
      <c r="Q59" s="325"/>
      <c r="R59" s="41" t="s">
        <v>65</v>
      </c>
      <c r="T59" s="54">
        <f>SUM(E59,E63)</f>
        <v>2026.4619039801391</v>
      </c>
      <c r="U59" s="54">
        <f>SUM(F59,F63)</f>
        <v>2956.370397268035</v>
      </c>
      <c r="V59" s="119">
        <f t="shared" si="6"/>
        <v>0.42106169584536263</v>
      </c>
      <c r="W59" s="119">
        <f t="shared" si="6"/>
        <v>0.5814398047883006</v>
      </c>
    </row>
    <row r="60" spans="3:23">
      <c r="C60" s="330"/>
      <c r="D60" s="245" t="s">
        <v>41</v>
      </c>
      <c r="E60" s="113">
        <f>E41-E58</f>
        <v>2249.8939327750004</v>
      </c>
      <c r="F60" s="129">
        <f>F41-F58</f>
        <v>1712.6907977546894</v>
      </c>
      <c r="G60" s="130">
        <f t="shared" si="4"/>
        <v>-0.23876820466719917</v>
      </c>
      <c r="H60" s="203">
        <f>H41-H58</f>
        <v>26213.893723397501</v>
      </c>
      <c r="I60" s="129">
        <f>I41-I58</f>
        <v>25195.848717178058</v>
      </c>
      <c r="J60" s="130">
        <f t="shared" si="5"/>
        <v>-3.8836085053277514E-2</v>
      </c>
      <c r="Q60" s="325" t="s">
        <v>78</v>
      </c>
      <c r="R60" s="41" t="s">
        <v>66</v>
      </c>
      <c r="T60" s="54">
        <f>E58</f>
        <v>196.46233822499971</v>
      </c>
      <c r="U60" s="54">
        <f>F58</f>
        <v>113.49022364500007</v>
      </c>
      <c r="V60" s="119">
        <f t="shared" si="6"/>
        <v>4.0821278278308226E-2</v>
      </c>
      <c r="W60" s="119">
        <f t="shared" si="6"/>
        <v>2.2320523011091001E-2</v>
      </c>
    </row>
    <row r="61" spans="3:23">
      <c r="C61" s="317" t="s">
        <v>64</v>
      </c>
      <c r="D61" s="318"/>
      <c r="E61" s="160">
        <f>SUM(E62:E64)</f>
        <v>154.48499298013931</v>
      </c>
      <c r="F61" s="161">
        <f>SUM(F62:F64)</f>
        <v>128.63306963307133</v>
      </c>
      <c r="G61" s="162">
        <f t="shared" si="4"/>
        <v>-0.16734261916554916</v>
      </c>
      <c r="H61" s="202">
        <f>SUM(H62:H64)</f>
        <v>1685.4733577815318</v>
      </c>
      <c r="I61" s="161">
        <f>SUM(I62:I64)</f>
        <v>1485.8130039205328</v>
      </c>
      <c r="J61" s="162">
        <f t="shared" si="5"/>
        <v>-0.11845951342938921</v>
      </c>
      <c r="Q61" s="325"/>
      <c r="R61" s="41" t="s">
        <v>89</v>
      </c>
      <c r="T61" s="54">
        <f>E57+E62</f>
        <v>291.65116599999993</v>
      </c>
      <c r="U61" s="54">
        <f>F57+F62</f>
        <v>271.78810564003118</v>
      </c>
      <c r="V61" s="119">
        <f t="shared" si="6"/>
        <v>6.059977456770433E-2</v>
      </c>
      <c r="W61" s="119">
        <f t="shared" si="6"/>
        <v>5.3453526402900971E-2</v>
      </c>
    </row>
    <row r="62" spans="3:23">
      <c r="C62" s="267" t="s">
        <v>78</v>
      </c>
      <c r="D62" s="268" t="s">
        <v>114</v>
      </c>
      <c r="E62" s="305">
        <v>20.796615999999997</v>
      </c>
      <c r="F62" s="278">
        <v>19.061034435769312</v>
      </c>
      <c r="G62" s="269">
        <f t="shared" si="4"/>
        <v>-8.3454998843594863E-2</v>
      </c>
      <c r="H62" s="279">
        <v>185.51935800000001</v>
      </c>
      <c r="I62" s="278">
        <v>175.50941377178702</v>
      </c>
      <c r="J62" s="269">
        <f t="shared" si="5"/>
        <v>-5.3956332838392962E-2</v>
      </c>
      <c r="Q62" s="41"/>
      <c r="R62" s="41"/>
      <c r="T62" s="41"/>
      <c r="U62" s="41"/>
      <c r="V62" s="41"/>
      <c r="W62" s="41"/>
    </row>
    <row r="63" spans="3:23">
      <c r="C63" s="333" t="s">
        <v>80</v>
      </c>
      <c r="D63" s="244" t="s">
        <v>81</v>
      </c>
      <c r="E63" s="113">
        <f>E47-E62</f>
        <v>85.414302980139311</v>
      </c>
      <c r="F63" s="129">
        <f>F47-F62</f>
        <v>79.343263833530244</v>
      </c>
      <c r="G63" s="130">
        <f>((F63/E63)-1)</f>
        <v>-7.107754714126413E-2</v>
      </c>
      <c r="H63" s="203">
        <f>H47-H62</f>
        <v>925.38567978153196</v>
      </c>
      <c r="I63" s="129">
        <f>I47-I62</f>
        <v>922.14494431475214</v>
      </c>
      <c r="J63" s="307">
        <f>((I63/H63)-1)</f>
        <v>-3.5020376234317085E-3</v>
      </c>
      <c r="Q63" s="41"/>
      <c r="R63" s="41"/>
      <c r="T63" s="41"/>
      <c r="U63" s="41"/>
      <c r="V63" s="41"/>
      <c r="W63" s="41"/>
    </row>
    <row r="64" spans="3:23" ht="13.5" thickBot="1">
      <c r="C64" s="334"/>
      <c r="D64" s="246" t="s">
        <v>41</v>
      </c>
      <c r="E64" s="118">
        <f>E46</f>
        <v>48.274073999999999</v>
      </c>
      <c r="F64" s="132">
        <f>F46</f>
        <v>30.228771363771756</v>
      </c>
      <c r="G64" s="133">
        <f t="shared" si="4"/>
        <v>-0.37380939997374663</v>
      </c>
      <c r="H64" s="204">
        <f>H46</f>
        <v>574.56831999999997</v>
      </c>
      <c r="I64" s="132">
        <f>I46</f>
        <v>388.1586458339936</v>
      </c>
      <c r="J64" s="133">
        <f t="shared" si="5"/>
        <v>-0.32443430602997114</v>
      </c>
      <c r="Q64" s="41"/>
      <c r="R64" s="41"/>
      <c r="T64" s="54">
        <f>SUM(T58:T61)</f>
        <v>4812.7434149801393</v>
      </c>
      <c r="U64" s="54">
        <f>SUM(U58:U61)</f>
        <v>5084.5682956715273</v>
      </c>
      <c r="V64" s="41"/>
      <c r="W64" s="41"/>
    </row>
    <row r="65" spans="3:22" ht="14.25" thickTop="1" thickBot="1">
      <c r="C65" s="319" t="s">
        <v>108</v>
      </c>
      <c r="D65" s="320"/>
      <c r="E65" s="163">
        <f>SUM(E56,E61)</f>
        <v>4812.7434149801393</v>
      </c>
      <c r="F65" s="164">
        <f>SUM(F56,F61)</f>
        <v>5084.5682956715282</v>
      </c>
      <c r="G65" s="165">
        <f t="shared" si="4"/>
        <v>5.6480235336317186E-2</v>
      </c>
      <c r="H65" s="205">
        <f>SUM(H56,H61)</f>
        <v>52405.243027781529</v>
      </c>
      <c r="I65" s="164">
        <f>SUM(I56,I61)</f>
        <v>54160.416111207363</v>
      </c>
      <c r="J65" s="165">
        <f t="shared" si="5"/>
        <v>3.3492318363934848E-2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1"/>
  <sheetViews>
    <sheetView view="pageBreakPreview" zoomScale="120" zoomScaleNormal="100" zoomScaleSheetLayoutView="120" workbookViewId="0">
      <selection activeCell="B2" sqref="B2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E28</f>
        <v>1856.4097927634612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5" si="0">E29</f>
        <v>2868.059587346745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84</v>
      </c>
      <c r="N11" s="53">
        <f t="shared" si="0"/>
        <v>86.743474431005779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J12" s="14"/>
      <c r="M12" s="42" t="s">
        <v>6</v>
      </c>
      <c r="N12" s="53">
        <f t="shared" si="0"/>
        <v>58.615975257531204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M13" s="42" t="s">
        <v>14</v>
      </c>
      <c r="N13" s="53">
        <f t="shared" si="0"/>
        <v>131.26231250250004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5</v>
      </c>
      <c r="N14" s="53">
        <f t="shared" si="0"/>
        <v>81.90981787999992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4</v>
      </c>
      <c r="N15" s="53">
        <f t="shared" si="0"/>
        <v>1.5673354902855268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15"/>
      <c r="D16" s="28"/>
      <c r="E16" s="28"/>
      <c r="M16" s="51" t="s">
        <v>7</v>
      </c>
      <c r="N16" s="55">
        <f>SUBTOTAL(109,N9:N15)</f>
        <v>5084.5682956715282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2:25">
      <c r="C17" s="15"/>
      <c r="D17" s="16"/>
      <c r="E17" s="16"/>
      <c r="F17" s="16"/>
      <c r="G17" s="16"/>
      <c r="H17" s="16"/>
      <c r="I17" s="16"/>
      <c r="N17" s="53"/>
      <c r="O17" s="53"/>
      <c r="P17" s="53"/>
      <c r="Q17" s="53"/>
      <c r="R17" s="53"/>
      <c r="S17" s="53"/>
      <c r="T17" s="54"/>
      <c r="U17" s="54"/>
      <c r="V17" s="54"/>
      <c r="W17" s="54"/>
      <c r="X17" s="65"/>
      <c r="Y17" s="65"/>
    </row>
    <row r="18" spans="2:25">
      <c r="C18" s="15"/>
      <c r="D18" s="16"/>
      <c r="E18" s="16"/>
      <c r="F18" s="16"/>
      <c r="G18" s="16"/>
      <c r="H18" s="16"/>
      <c r="I18" s="16"/>
      <c r="N18" s="66"/>
      <c r="O18" s="66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B19" s="69"/>
      <c r="C19" s="70"/>
      <c r="D19" s="71"/>
      <c r="E19" s="71"/>
      <c r="F19" s="71"/>
      <c r="G19" s="71"/>
      <c r="H19" s="71"/>
      <c r="I19" s="71"/>
      <c r="J19" s="69"/>
      <c r="N19" s="53"/>
      <c r="O19" s="53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C22" s="15"/>
      <c r="D22" s="16"/>
      <c r="E22" s="16"/>
      <c r="F22" s="16"/>
      <c r="G22" s="16"/>
      <c r="H22" s="16"/>
      <c r="I22" s="16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 t="s">
        <v>125</v>
      </c>
      <c r="D23" s="16"/>
      <c r="E23" s="16"/>
      <c r="F23" s="273"/>
      <c r="G23" s="22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5" t="s">
        <v>121</v>
      </c>
      <c r="E24" s="7"/>
      <c r="F24" s="7"/>
      <c r="G24" s="7"/>
      <c r="H24" s="16"/>
      <c r="I24" s="16"/>
      <c r="J24" s="3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 ht="13.5" thickBot="1">
      <c r="B25" s="5"/>
      <c r="C25" s="69"/>
      <c r="D25" s="69"/>
      <c r="E25" s="136"/>
      <c r="F25" s="136"/>
      <c r="G25" s="7"/>
      <c r="H25" s="16"/>
      <c r="I25" s="1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6.5" customHeight="1">
      <c r="C26" s="257" t="s">
        <v>61</v>
      </c>
      <c r="D26" s="337" t="s">
        <v>128</v>
      </c>
      <c r="E26" s="337"/>
      <c r="F26" s="338" t="s">
        <v>74</v>
      </c>
      <c r="G26" s="340" t="s">
        <v>129</v>
      </c>
      <c r="H26" s="341"/>
      <c r="I26" s="338" t="s">
        <v>74</v>
      </c>
      <c r="N26" s="53">
        <v>2021</v>
      </c>
      <c r="O26" s="53">
        <v>2022</v>
      </c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2" customHeight="1">
      <c r="C27" s="258"/>
      <c r="D27" s="75">
        <v>2021</v>
      </c>
      <c r="E27" s="76">
        <v>2022</v>
      </c>
      <c r="F27" s="339"/>
      <c r="G27" s="206">
        <v>2021</v>
      </c>
      <c r="H27" s="76">
        <v>2022</v>
      </c>
      <c r="I27" s="339"/>
      <c r="M27" s="42" t="s">
        <v>85</v>
      </c>
      <c r="N27" s="53">
        <f t="shared" ref="N27:O29" si="1">D28</f>
        <v>2494.630345</v>
      </c>
      <c r="O27" s="53">
        <f t="shared" si="1"/>
        <v>1856.4097927634612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>
      <c r="C28" s="137" t="s">
        <v>85</v>
      </c>
      <c r="D28" s="138">
        <f>'Resumen (G)'!E41+'Resumen (G)'!E46</f>
        <v>2494.630345</v>
      </c>
      <c r="E28" s="139">
        <f>'Resumen (G)'!F41+'Resumen (G)'!F46</f>
        <v>1856.4097927634612</v>
      </c>
      <c r="F28" s="316">
        <f>+E28/D28-1</f>
        <v>-0.25583772502235747</v>
      </c>
      <c r="G28" s="219">
        <f>'Resumen (G)'!H41+'Resumen (G)'!H46</f>
        <v>28869.674250999997</v>
      </c>
      <c r="H28" s="139">
        <f>'Resumen (G)'!I41+'Resumen (G)'!I46</f>
        <v>27444.553157239552</v>
      </c>
      <c r="I28" s="140">
        <f>+H28/G28-1</f>
        <v>-4.936394783571485E-2</v>
      </c>
      <c r="J28" s="36"/>
      <c r="M28" s="42" t="s">
        <v>2</v>
      </c>
      <c r="N28" s="53">
        <f t="shared" si="1"/>
        <v>1946.9762970000002</v>
      </c>
      <c r="O28" s="53">
        <f t="shared" si="1"/>
        <v>2868.059587346745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41" t="s">
        <v>2</v>
      </c>
      <c r="D29" s="142">
        <v>1946.9762970000002</v>
      </c>
      <c r="E29" s="143">
        <v>2868.059587346745</v>
      </c>
      <c r="F29" s="144">
        <f t="shared" ref="F29:F35" si="2">+E29/D29-1</f>
        <v>0.47308397732730323</v>
      </c>
      <c r="G29" s="220">
        <v>19750.494711000003</v>
      </c>
      <c r="H29" s="143">
        <v>22797.535719074243</v>
      </c>
      <c r="I29" s="144">
        <f t="shared" ref="I29:I35" si="3">+H29/G29-1</f>
        <v>0.15427669294669344</v>
      </c>
      <c r="J29" s="224"/>
      <c r="K29" s="225"/>
      <c r="M29" s="42" t="s">
        <v>84</v>
      </c>
      <c r="N29" s="53">
        <f t="shared" si="1"/>
        <v>77.482756980139129</v>
      </c>
      <c r="O29" s="53">
        <f t="shared" si="1"/>
        <v>86.743474431005779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3</v>
      </c>
      <c r="D30" s="142">
        <f>'Resumen (G)'!E32-SUM('TipoRecurso (G)'!D28:D29,'TipoRecurso (G)'!D31:D34)</f>
        <v>77.482756980139129</v>
      </c>
      <c r="E30" s="143">
        <f>'Resumen (G)'!F32-SUM('TipoRecurso (G)'!E28:E29,'TipoRecurso (G)'!E31:E34)</f>
        <v>86.743474431005779</v>
      </c>
      <c r="F30" s="144">
        <f t="shared" si="2"/>
        <v>0.11951972041005732</v>
      </c>
      <c r="G30" s="220">
        <f>'Resumen (G)'!H32-SUM('TipoRecurso (G)'!G28:G29,'TipoRecurso (G)'!G31:G34)</f>
        <v>844.45684878153406</v>
      </c>
      <c r="H30" s="143">
        <f>'Resumen (G)'!I32-SUM('TipoRecurso (G)'!H28:H29,'TipoRecurso (G)'!H31:H34)</f>
        <v>854.88284154602297</v>
      </c>
      <c r="I30" s="144">
        <f t="shared" si="3"/>
        <v>1.2346389018613069E-2</v>
      </c>
      <c r="J30" s="36"/>
      <c r="M30" s="42" t="s">
        <v>4</v>
      </c>
      <c r="N30" s="77">
        <f>D34</f>
        <v>2.00285</v>
      </c>
      <c r="O30" s="77">
        <f>E34</f>
        <v>1.5673354902855268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6</v>
      </c>
      <c r="D31" s="142">
        <f>'Resumen (G)'!E57+'Resumen (G)'!E62-SUM('TipoRecurso (G)'!D32:D33)</f>
        <v>55.532254999999964</v>
      </c>
      <c r="E31" s="143">
        <f>'Resumen (G)'!F57+'Resumen (G)'!F62-SUM('TipoRecurso (G)'!E32:E33)</f>
        <v>58.615975257531204</v>
      </c>
      <c r="F31" s="144">
        <f t="shared" si="2"/>
        <v>5.5530254579635674E-2</v>
      </c>
      <c r="G31" s="220">
        <f>'Resumen (G)'!H57+'Resumen (G)'!H62-SUM('TipoRecurso (G)'!G32:G33)</f>
        <v>513.22883600000023</v>
      </c>
      <c r="H31" s="143">
        <f>'Resumen (G)'!I57+'Resumen (G)'!I62-SUM('TipoRecurso (G)'!H32:H33)</f>
        <v>498.76093038604904</v>
      </c>
      <c r="I31" s="144">
        <f t="shared" si="3"/>
        <v>-2.8189970241561335E-2</v>
      </c>
      <c r="M31" s="42" t="s">
        <v>90</v>
      </c>
      <c r="N31" s="53">
        <f t="shared" ref="N31:O33" si="4">D31</f>
        <v>55.532254999999964</v>
      </c>
      <c r="O31" s="53">
        <f t="shared" si="4"/>
        <v>58.615975257531204</v>
      </c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14</v>
      </c>
      <c r="D32" s="142">
        <f>'Resumen (G)'!E43</f>
        <v>159.71653499999999</v>
      </c>
      <c r="E32" s="143">
        <f>'Resumen (G)'!F43</f>
        <v>131.26231250250004</v>
      </c>
      <c r="F32" s="144">
        <f t="shared" si="2"/>
        <v>-0.17815451917673997</v>
      </c>
      <c r="G32" s="220">
        <f>'Resumen (G)'!H43</f>
        <v>1678.1011079999998</v>
      </c>
      <c r="H32" s="143">
        <f>'Resumen (G)'!I43</f>
        <v>1794.7350727575001</v>
      </c>
      <c r="I32" s="144">
        <f t="shared" si="3"/>
        <v>6.9503538375293328E-2</v>
      </c>
      <c r="M32" s="42" t="s">
        <v>14</v>
      </c>
      <c r="N32" s="53">
        <f t="shared" si="4"/>
        <v>159.71653499999999</v>
      </c>
      <c r="O32" s="53">
        <f t="shared" si="4"/>
        <v>131.26231250250004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5</v>
      </c>
      <c r="D33" s="142">
        <f>'Resumen (G)'!E44</f>
        <v>76.40237599999999</v>
      </c>
      <c r="E33" s="143">
        <f>'Resumen (G)'!F44</f>
        <v>81.90981787999992</v>
      </c>
      <c r="F33" s="144">
        <f t="shared" si="2"/>
        <v>7.2084693805856581E-2</v>
      </c>
      <c r="G33" s="220">
        <f>'Resumen (G)'!H44</f>
        <v>728.09268200000008</v>
      </c>
      <c r="H33" s="143">
        <f>'Resumen (G)'!I44</f>
        <v>748.67341449499986</v>
      </c>
      <c r="I33" s="144">
        <f t="shared" si="3"/>
        <v>2.8266638305533442E-2</v>
      </c>
      <c r="M33" s="42" t="s">
        <v>5</v>
      </c>
      <c r="N33" s="53">
        <f t="shared" si="4"/>
        <v>76.40237599999999</v>
      </c>
      <c r="O33" s="53">
        <f t="shared" si="4"/>
        <v>81.90981787999992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 ht="13.5" thickBot="1">
      <c r="C34" s="145" t="s">
        <v>126</v>
      </c>
      <c r="D34" s="311">
        <v>2.00285</v>
      </c>
      <c r="E34" s="312">
        <v>1.5673354902855268</v>
      </c>
      <c r="F34" s="146">
        <f t="shared" si="2"/>
        <v>-0.21744739232317611</v>
      </c>
      <c r="G34" s="355">
        <v>21.194590999999999</v>
      </c>
      <c r="H34" s="312">
        <v>21.27497570899531</v>
      </c>
      <c r="I34" s="356">
        <f t="shared" si="3"/>
        <v>3.7926992313892516E-3</v>
      </c>
      <c r="N34" s="53">
        <f>SUM(N27:N33)</f>
        <v>4812.7434149801393</v>
      </c>
      <c r="O34" s="53">
        <f>SUM(O27:O33)</f>
        <v>5084.5682956715282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 ht="15" customHeight="1" thickTop="1" thickBot="1">
      <c r="C35" s="259" t="s">
        <v>108</v>
      </c>
      <c r="D35" s="260">
        <f>SUM(D28:D34)</f>
        <v>4812.7434149801393</v>
      </c>
      <c r="E35" s="261">
        <f>SUM(E28:E34)</f>
        <v>5084.5682956715282</v>
      </c>
      <c r="F35" s="262">
        <f t="shared" si="2"/>
        <v>5.6480235336317186E-2</v>
      </c>
      <c r="G35" s="263">
        <f>SUM(G28:G34)</f>
        <v>52405.243027781537</v>
      </c>
      <c r="H35" s="261">
        <f>SUM(H28:H34)</f>
        <v>54160.416111207371</v>
      </c>
      <c r="I35" s="264">
        <f t="shared" si="3"/>
        <v>3.3492318363934848E-2</v>
      </c>
      <c r="N35" s="53"/>
      <c r="O35" s="53"/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>
      <c r="B36" s="9"/>
      <c r="C36" s="147"/>
      <c r="D36" s="147"/>
      <c r="E36" s="148"/>
      <c r="F36" s="149"/>
      <c r="G36" s="10"/>
      <c r="H36" s="10"/>
      <c r="I36" s="11"/>
      <c r="N36" s="53"/>
      <c r="O36" s="53"/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>
      <c r="C37" s="15"/>
      <c r="D37" s="16"/>
      <c r="E37" s="16"/>
      <c r="G37" s="15"/>
      <c r="H37" s="16"/>
      <c r="I37" s="16"/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C38" s="8"/>
      <c r="D38" s="16"/>
      <c r="E38" s="16"/>
      <c r="G38" s="8"/>
      <c r="H38" s="16"/>
      <c r="I38" s="16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M39" s="197"/>
      <c r="N39" s="197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15"/>
      <c r="D40" s="16"/>
      <c r="E40" s="16"/>
      <c r="G40" s="15"/>
      <c r="H40" s="16"/>
      <c r="I40" s="16"/>
      <c r="M40" s="197">
        <f t="shared" ref="M40:N46" si="5">N27/N$34</f>
        <v>0.51833852958693305</v>
      </c>
      <c r="N40" s="197">
        <f t="shared" si="5"/>
        <v>0.36510666880879838</v>
      </c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>
        <f t="shared" si="5"/>
        <v>0.40454604144069767</v>
      </c>
      <c r="N41" s="197">
        <f t="shared" si="5"/>
        <v>0.56407140598117489</v>
      </c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si="5"/>
        <v>1.6099498830327501E-2</v>
      </c>
      <c r="N42" s="197">
        <f t="shared" si="5"/>
        <v>1.7060145402088538E-2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4.161555743374832E-4</v>
      </c>
      <c r="N43" s="197">
        <f t="shared" si="5"/>
        <v>3.0825340503731513E-4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1.1538586251481917E-2</v>
      </c>
      <c r="N44" s="197">
        <f t="shared" si="5"/>
        <v>1.1528210823213987E-2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si="5"/>
        <v>3.3186172880703864E-2</v>
      </c>
      <c r="N45" s="197">
        <f t="shared" si="5"/>
        <v>2.5815822478821474E-2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5"/>
        <v>1.5875015435518555E-2</v>
      </c>
      <c r="N46" s="197">
        <f t="shared" si="5"/>
        <v>1.6109493100865496E-2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>N34/N$34</f>
        <v>1</v>
      </c>
      <c r="N47" s="197">
        <f>O34/O$34</f>
        <v>1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N48" s="53"/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 ht="15">
      <c r="B49" s="12" t="s">
        <v>100</v>
      </c>
      <c r="D49" s="16"/>
      <c r="E49" s="16"/>
      <c r="F49" s="16"/>
      <c r="G49" s="16"/>
      <c r="H49" s="16"/>
      <c r="I49" s="16"/>
      <c r="M49" s="198">
        <f>SUM(M39:M46)</f>
        <v>1.0000000000000002</v>
      </c>
      <c r="N49" s="198">
        <f>SUM(N39:N46)</f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F50" s="16"/>
      <c r="G50" s="16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>
      <c r="C51" s="5" t="s">
        <v>122</v>
      </c>
      <c r="D51" s="16"/>
      <c r="E51" s="16"/>
      <c r="F51" s="16"/>
      <c r="G51" s="16"/>
      <c r="H51" s="16"/>
      <c r="I51" s="16"/>
      <c r="N51" s="53"/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 ht="13.5" thickBot="1">
      <c r="C52" s="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3"/>
      <c r="U52" s="53"/>
      <c r="V52" s="56"/>
    </row>
    <row r="53" spans="2:25" ht="15">
      <c r="C53" s="335" t="s">
        <v>91</v>
      </c>
      <c r="D53" s="337" t="s">
        <v>128</v>
      </c>
      <c r="E53" s="337"/>
      <c r="F53" s="338" t="s">
        <v>74</v>
      </c>
      <c r="G53" s="340" t="s">
        <v>129</v>
      </c>
      <c r="H53" s="341"/>
      <c r="I53" s="338" t="s">
        <v>74</v>
      </c>
      <c r="N53" s="53"/>
      <c r="O53" s="53"/>
      <c r="P53" s="53"/>
      <c r="Q53" s="53"/>
      <c r="R53" s="53"/>
      <c r="S53" s="53"/>
      <c r="T53" s="53"/>
      <c r="U53" s="53"/>
      <c r="V53" s="56"/>
    </row>
    <row r="54" spans="2:25">
      <c r="C54" s="336"/>
      <c r="D54" s="75">
        <v>2021</v>
      </c>
      <c r="E54" s="76">
        <v>2022</v>
      </c>
      <c r="F54" s="339"/>
      <c r="G54" s="206">
        <v>2021</v>
      </c>
      <c r="H54" s="76">
        <v>2022</v>
      </c>
      <c r="I54" s="339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24.75" customHeight="1">
      <c r="C55" s="250" t="s">
        <v>42</v>
      </c>
      <c r="D55" s="251">
        <f>SUM(D28:D30,D34)</f>
        <v>4521.0922489801396</v>
      </c>
      <c r="E55" s="252">
        <f>SUM(E28:E30,E34)</f>
        <v>4812.7801900314971</v>
      </c>
      <c r="F55" s="253">
        <f>+E55/D55-1</f>
        <v>6.4517139882990904E-2</v>
      </c>
      <c r="G55" s="254">
        <f>SUM(G28:G30,G34)</f>
        <v>49485.82040178153</v>
      </c>
      <c r="H55" s="252">
        <f>SUM(H28:H30,H34)</f>
        <v>51118.246693568813</v>
      </c>
      <c r="I55" s="253">
        <f>+H55/G55-1</f>
        <v>3.2987758483812302E-2</v>
      </c>
      <c r="M55" s="51"/>
      <c r="N55" s="55"/>
      <c r="O55" s="55"/>
      <c r="P55" s="55"/>
      <c r="Q55" s="55"/>
      <c r="R55" s="55"/>
      <c r="S55" s="55"/>
      <c r="T55" s="53"/>
      <c r="U55" s="53"/>
    </row>
    <row r="56" spans="2:25" ht="24.75" thickBot="1">
      <c r="C56" s="255" t="s">
        <v>104</v>
      </c>
      <c r="D56" s="302">
        <f>SUM(D31:D33)</f>
        <v>291.65116599999993</v>
      </c>
      <c r="E56" s="256">
        <f>SUM(E31:E33)</f>
        <v>271.78810564003118</v>
      </c>
      <c r="F56" s="303">
        <f>+E56/D56-1</f>
        <v>-6.8105540712869117E-2</v>
      </c>
      <c r="G56" s="308">
        <f>SUM(G31:G33)</f>
        <v>2919.422626</v>
      </c>
      <c r="H56" s="256">
        <f>SUM(H31:H33)</f>
        <v>3042.169417638549</v>
      </c>
      <c r="I56" s="309">
        <f>+H56/G56-1</f>
        <v>4.2044886048830943E-2</v>
      </c>
      <c r="N56" s="53"/>
      <c r="O56" s="53"/>
      <c r="P56" s="53"/>
      <c r="Q56" s="53"/>
      <c r="R56" s="53"/>
      <c r="S56" s="53"/>
      <c r="T56" s="53"/>
      <c r="U56" s="53"/>
    </row>
    <row r="57" spans="2:25">
      <c r="C57" s="90" t="s">
        <v>71</v>
      </c>
      <c r="D57" s="78">
        <f>SUM(D55:D56)</f>
        <v>4812.7434149801393</v>
      </c>
      <c r="E57" s="79">
        <f>SUM(E55:E56)</f>
        <v>5084.5682956715282</v>
      </c>
      <c r="F57" s="80">
        <f>+E57/D57-1</f>
        <v>5.6480235336317186E-2</v>
      </c>
      <c r="G57" s="221">
        <f>SUM(G55:G56)</f>
        <v>52405.243027781529</v>
      </c>
      <c r="H57" s="79">
        <f>SUM(H55:H56)</f>
        <v>54160.416111207363</v>
      </c>
      <c r="I57" s="80">
        <f>+H57/G57-1</f>
        <v>3.3492318363934848E-2</v>
      </c>
      <c r="N57" s="57"/>
      <c r="O57" s="57"/>
      <c r="P57" s="57"/>
      <c r="Q57" s="57"/>
      <c r="R57" s="57"/>
      <c r="S57" s="57"/>
      <c r="T57" s="57"/>
      <c r="U57" s="57"/>
    </row>
    <row r="58" spans="2:25" ht="13.5" thickBot="1">
      <c r="C58" s="103" t="s">
        <v>8</v>
      </c>
      <c r="D58" s="81">
        <f>+D56/D57</f>
        <v>6.059977456770433E-2</v>
      </c>
      <c r="E58" s="82">
        <f>+E56/E57</f>
        <v>5.3453526402900964E-2</v>
      </c>
      <c r="F58" s="83"/>
      <c r="G58" s="222">
        <f>+G56/G57</f>
        <v>5.570859817313184E-2</v>
      </c>
      <c r="H58" s="82">
        <f>+H56/H57</f>
        <v>5.616960939502523E-2</v>
      </c>
      <c r="I58" s="83"/>
      <c r="N58" s="57"/>
      <c r="O58" s="57"/>
      <c r="P58" s="57"/>
      <c r="Q58" s="57"/>
      <c r="R58" s="57"/>
      <c r="S58" s="57"/>
      <c r="T58" s="57"/>
      <c r="U58" s="57"/>
    </row>
    <row r="59" spans="2:25">
      <c r="C59" s="228" t="s">
        <v>105</v>
      </c>
      <c r="D59" s="101"/>
      <c r="E59" s="101"/>
      <c r="F59" s="102"/>
      <c r="G59" s="16"/>
      <c r="H59" s="16"/>
      <c r="I59" s="16"/>
      <c r="N59" s="57"/>
      <c r="O59" s="57"/>
      <c r="P59" s="57"/>
      <c r="Q59" s="57"/>
      <c r="R59" s="57"/>
      <c r="S59" s="57"/>
      <c r="T59" s="57"/>
      <c r="U59" s="57"/>
    </row>
    <row r="60" spans="2:25">
      <c r="C60" s="15"/>
      <c r="D60" s="16"/>
      <c r="E60" s="16"/>
      <c r="F60" s="16"/>
      <c r="G60" s="16"/>
      <c r="H60" s="16"/>
      <c r="I60" s="16"/>
      <c r="K60" s="58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2:25">
      <c r="K61" s="58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2:25">
      <c r="K62" s="58"/>
      <c r="L62" s="42"/>
      <c r="P62" s="59"/>
      <c r="Q62" s="59"/>
      <c r="R62" s="59"/>
      <c r="S62" s="59"/>
      <c r="T62" s="59"/>
      <c r="U62" s="59"/>
      <c r="V62" s="59"/>
    </row>
    <row r="63" spans="2:25" ht="25.5">
      <c r="L63" s="68" t="s">
        <v>57</v>
      </c>
      <c r="M63" s="59">
        <f>D55</f>
        <v>4521.0922489801396</v>
      </c>
      <c r="N63" s="59">
        <f>E55</f>
        <v>4812.7801900314971</v>
      </c>
      <c r="O63" s="67">
        <v>4.4847805250167516E-2</v>
      </c>
      <c r="P63" s="60"/>
      <c r="Q63" s="60"/>
      <c r="R63" s="60"/>
      <c r="S63" s="60"/>
      <c r="T63" s="60"/>
    </row>
    <row r="64" spans="2:25" ht="38.25">
      <c r="K64" s="58"/>
      <c r="L64" s="68" t="s">
        <v>58</v>
      </c>
      <c r="M64" s="59">
        <f>D56</f>
        <v>291.65116599999993</v>
      </c>
      <c r="N64" s="59">
        <f>E56</f>
        <v>271.78810564003118</v>
      </c>
      <c r="O64" s="67">
        <v>0.12281081992035348</v>
      </c>
      <c r="P64" s="59"/>
      <c r="Q64" s="59"/>
      <c r="R64" s="59"/>
      <c r="S64" s="59"/>
      <c r="T64" s="59"/>
      <c r="U64" s="59"/>
      <c r="V64" s="59"/>
      <c r="W64" s="59"/>
      <c r="X64" s="59"/>
    </row>
    <row r="65" spans="2:24">
      <c r="K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2:24">
      <c r="K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 ht="26.25" customHeight="1"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  <row r="69" spans="2:24" ht="24.75" customHeight="1"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  <row r="70" spans="2:24">
      <c r="M70" s="51"/>
      <c r="N70" s="55"/>
      <c r="O70" s="55"/>
      <c r="P70" s="55"/>
      <c r="Q70" s="55"/>
      <c r="R70" s="55"/>
      <c r="S70" s="55"/>
      <c r="T70" s="55"/>
      <c r="U70" s="55"/>
      <c r="V70" s="53"/>
    </row>
    <row r="71" spans="2:24">
      <c r="C71" s="228" t="s">
        <v>105</v>
      </c>
      <c r="M71" s="51"/>
      <c r="N71" s="61"/>
      <c r="O71" s="61"/>
      <c r="P71" s="61"/>
      <c r="Q71" s="61"/>
      <c r="R71" s="61"/>
      <c r="S71" s="61"/>
      <c r="T71" s="61"/>
      <c r="U71" s="61"/>
      <c r="V71" s="62"/>
    </row>
    <row r="72" spans="2:24" ht="15">
      <c r="B72" s="12" t="s">
        <v>115</v>
      </c>
    </row>
    <row r="73" spans="2:24" ht="15">
      <c r="B73" s="12"/>
    </row>
    <row r="74" spans="2:24" ht="15">
      <c r="B74" s="12"/>
      <c r="C74" s="5" t="s">
        <v>123</v>
      </c>
    </row>
    <row r="75" spans="2:24" ht="13.5" thickBot="1">
      <c r="N75" s="42">
        <v>2021</v>
      </c>
      <c r="O75" s="42">
        <v>2022</v>
      </c>
    </row>
    <row r="76" spans="2:24" ht="15" customHeight="1">
      <c r="C76" s="274"/>
      <c r="D76" s="337" t="s">
        <v>128</v>
      </c>
      <c r="E76" s="337"/>
      <c r="F76" s="84" t="s">
        <v>74</v>
      </c>
      <c r="G76" s="340" t="s">
        <v>129</v>
      </c>
      <c r="H76" s="341"/>
      <c r="I76" s="84" t="s">
        <v>74</v>
      </c>
      <c r="M76" s="42" t="s">
        <v>96</v>
      </c>
      <c r="N76" s="53">
        <f>D78</f>
        <v>1.1155591199999997</v>
      </c>
      <c r="O76" s="53">
        <f>E78</f>
        <v>4.9846502199999989</v>
      </c>
    </row>
    <row r="77" spans="2:24" ht="12.75" customHeight="1">
      <c r="C77" s="300" t="s">
        <v>95</v>
      </c>
      <c r="D77" s="301">
        <v>2021</v>
      </c>
      <c r="E77" s="76">
        <v>2022</v>
      </c>
      <c r="F77" s="85"/>
      <c r="G77" s="294">
        <v>2021</v>
      </c>
      <c r="H77" s="76">
        <v>2022</v>
      </c>
      <c r="I77" s="85"/>
      <c r="M77" s="42" t="s">
        <v>97</v>
      </c>
      <c r="N77" s="53">
        <f>D79</f>
        <v>4657.1428628799986</v>
      </c>
      <c r="O77" s="53">
        <f>E79</f>
        <v>4950.9505758184559</v>
      </c>
    </row>
    <row r="78" spans="2:24" ht="12.75" customHeight="1">
      <c r="C78" s="110" t="s">
        <v>96</v>
      </c>
      <c r="D78" s="113">
        <v>1.1155591199999997</v>
      </c>
      <c r="E78" s="299">
        <v>4.9846502199999989</v>
      </c>
      <c r="F78" s="130">
        <f>((E78/D78)-1)</f>
        <v>3.4682976730090296</v>
      </c>
      <c r="G78" s="203">
        <v>28.288706177499993</v>
      </c>
      <c r="H78" s="299">
        <v>278.58545511750003</v>
      </c>
      <c r="I78" s="130">
        <f>((H78/G78)-1)</f>
        <v>8.8479390810414209</v>
      </c>
      <c r="K78" s="54"/>
    </row>
    <row r="79" spans="2:24" ht="16.5" customHeight="1" thickBot="1">
      <c r="C79" s="115" t="s">
        <v>97</v>
      </c>
      <c r="D79" s="118">
        <f>'Resumen (G)'!E40-D78</f>
        <v>4657.1428628799986</v>
      </c>
      <c r="E79" s="281">
        <f>'Resumen (G)'!F40-E78</f>
        <v>4950.9505758184559</v>
      </c>
      <c r="F79" s="133">
        <f>((E79/D79)-1)</f>
        <v>6.3087545645263976E-2</v>
      </c>
      <c r="G79" s="204">
        <f>'Resumen (G)'!H40-G78</f>
        <v>50691.480963822498</v>
      </c>
      <c r="H79" s="281">
        <f>'Resumen (G)'!I40-H78</f>
        <v>52396.017652169328</v>
      </c>
      <c r="I79" s="133">
        <f>((H79/G79)-1)</f>
        <v>3.3625703095226722E-2</v>
      </c>
      <c r="M79" s="53"/>
      <c r="N79" s="53"/>
      <c r="O79" s="53"/>
    </row>
    <row r="80" spans="2:24" ht="14.25" thickTop="1" thickBot="1">
      <c r="C80" s="104" t="s">
        <v>94</v>
      </c>
      <c r="D80" s="199">
        <f>SUM(D78:D79)</f>
        <v>4658.258421999999</v>
      </c>
      <c r="E80" s="282">
        <f>SUM(E78:E79)</f>
        <v>4955.9352260384558</v>
      </c>
      <c r="F80" s="105"/>
      <c r="G80" s="223">
        <f>SUM(G78:G79)</f>
        <v>50719.769670000001</v>
      </c>
      <c r="H80" s="282">
        <f>SUM(H78:H79)</f>
        <v>52674.603107286828</v>
      </c>
      <c r="I80" s="105"/>
      <c r="N80" s="53"/>
      <c r="O80" s="53"/>
    </row>
    <row r="81" spans="3:6">
      <c r="C81" s="72"/>
      <c r="D81" s="36"/>
      <c r="E81" s="36"/>
      <c r="F81" s="73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="90" zoomScaleNormal="100" zoomScaleSheetLayoutView="90" workbookViewId="0">
      <selection activeCell="B1" sqref="B1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124</v>
      </c>
      <c r="D4" s="2"/>
      <c r="E4" s="12"/>
      <c r="F4" s="12"/>
      <c r="G4" s="12"/>
      <c r="H4" s="12"/>
      <c r="I4" s="12"/>
      <c r="J4" s="12"/>
    </row>
    <row r="6" spans="3:13">
      <c r="C6" s="5" t="s">
        <v>131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49" t="s">
        <v>128</v>
      </c>
      <c r="E8" s="350"/>
      <c r="F8" s="338" t="s">
        <v>74</v>
      </c>
      <c r="G8" s="340" t="s">
        <v>129</v>
      </c>
      <c r="H8" s="341"/>
      <c r="I8" s="338" t="s">
        <v>74</v>
      </c>
      <c r="J8" s="16"/>
    </row>
    <row r="9" spans="3:13" ht="13.5" customHeight="1">
      <c r="C9" s="179"/>
      <c r="D9" s="88">
        <v>2021</v>
      </c>
      <c r="E9" s="76">
        <v>2022</v>
      </c>
      <c r="F9" s="339"/>
      <c r="G9" s="294">
        <v>2021</v>
      </c>
      <c r="H9" s="76">
        <v>2022</v>
      </c>
      <c r="I9" s="339"/>
      <c r="J9" s="16"/>
    </row>
    <row r="10" spans="3:13">
      <c r="C10" s="166" t="s">
        <v>10</v>
      </c>
      <c r="D10" s="167">
        <f>'Por Región (G)'!O8</f>
        <v>337.41795600000006</v>
      </c>
      <c r="E10" s="168">
        <f>'Por Región (G)'!P8</f>
        <v>311.81131342004682</v>
      </c>
      <c r="F10" s="169">
        <f>+E10/D10-1</f>
        <v>-7.588998191890306E-2</v>
      </c>
      <c r="G10" s="290">
        <f>'Por Región (G)'!Q8</f>
        <v>3473.0478900000003</v>
      </c>
      <c r="H10" s="168">
        <f>'Por Región (G)'!R8</f>
        <v>3539.9143060276269</v>
      </c>
      <c r="I10" s="169">
        <f>+H10/G10-1</f>
        <v>1.9252949612401205E-2</v>
      </c>
      <c r="J10" s="16"/>
      <c r="L10" s="41" t="s">
        <v>9</v>
      </c>
      <c r="M10" s="200">
        <f>E11</f>
        <v>4103.9043610736016</v>
      </c>
    </row>
    <row r="11" spans="3:13">
      <c r="C11" s="170" t="s">
        <v>9</v>
      </c>
      <c r="D11" s="171">
        <f>'Por Región (G)'!O9</f>
        <v>3907.6717960000001</v>
      </c>
      <c r="E11" s="172">
        <f>'Por Región (G)'!P9</f>
        <v>4103.9043610736016</v>
      </c>
      <c r="F11" s="173">
        <f>+E11/D11-1</f>
        <v>5.0217258592308189E-2</v>
      </c>
      <c r="G11" s="291">
        <f>'Por Región (G)'!Q9</f>
        <v>42249.175321000002</v>
      </c>
      <c r="H11" s="172">
        <f>'Por Región (G)'!R9</f>
        <v>43754.927971574354</v>
      </c>
      <c r="I11" s="173">
        <f>+H11/G11-1</f>
        <v>3.5639811644463393E-2</v>
      </c>
      <c r="J11" s="16"/>
      <c r="L11" s="41" t="s">
        <v>12</v>
      </c>
      <c r="M11" s="200">
        <f>E12</f>
        <v>631.75932696427628</v>
      </c>
    </row>
    <row r="12" spans="3:13">
      <c r="C12" s="170" t="s">
        <v>12</v>
      </c>
      <c r="D12" s="171">
        <f>'Por Región (G)'!O10</f>
        <v>532.60407199999997</v>
      </c>
      <c r="E12" s="172">
        <f>'Por Región (G)'!P10</f>
        <v>631.75932696427628</v>
      </c>
      <c r="F12" s="173">
        <f>+E12/D12-1</f>
        <v>0.18617066631115864</v>
      </c>
      <c r="G12" s="291">
        <f>'Por Región (G)'!Q10</f>
        <v>6307.0191249999989</v>
      </c>
      <c r="H12" s="172">
        <f>'Por Región (G)'!R10</f>
        <v>6479.4041225903884</v>
      </c>
      <c r="I12" s="357">
        <f>+H12/G12-1</f>
        <v>2.7332245895225427E-2</v>
      </c>
      <c r="J12" s="16"/>
      <c r="L12" s="41" t="s">
        <v>10</v>
      </c>
      <c r="M12" s="200">
        <f>E10</f>
        <v>311.81131342004682</v>
      </c>
    </row>
    <row r="13" spans="3:13">
      <c r="C13" s="174" t="s">
        <v>11</v>
      </c>
      <c r="D13" s="175">
        <f>'Por Región (G)'!O11</f>
        <v>35.049590000000009</v>
      </c>
      <c r="E13" s="176">
        <f>'Por Región (G)'!P11</f>
        <v>37.09329421360291</v>
      </c>
      <c r="F13" s="177">
        <f>+E13/D13-1</f>
        <v>5.830893353111688E-2</v>
      </c>
      <c r="G13" s="292">
        <f>'Por Región (G)'!Q11</f>
        <v>376.00068100000004</v>
      </c>
      <c r="H13" s="176">
        <f>'Por Región (G)'!R11</f>
        <v>386.16970121360293</v>
      </c>
      <c r="I13" s="177">
        <f>+H13/G13-1</f>
        <v>2.7045217542047251E-2</v>
      </c>
      <c r="J13" s="16"/>
      <c r="L13" s="41" t="s">
        <v>11</v>
      </c>
      <c r="M13" s="200">
        <f>E13</f>
        <v>37.09329421360291</v>
      </c>
    </row>
    <row r="14" spans="3:13" ht="13.5" thickBot="1">
      <c r="C14" s="180" t="s">
        <v>108</v>
      </c>
      <c r="D14" s="181">
        <f>SUM(D10:D13)</f>
        <v>4812.7434139999996</v>
      </c>
      <c r="E14" s="182">
        <f>SUM(E10:E13)</f>
        <v>5084.5682956715282</v>
      </c>
      <c r="F14" s="183">
        <f>+E14/D14-1</f>
        <v>5.6480235551474633E-2</v>
      </c>
      <c r="G14" s="293">
        <f>SUM(G10:G13)</f>
        <v>52405.243017000001</v>
      </c>
      <c r="H14" s="182">
        <f>SUM(H10:H13)</f>
        <v>54160.416101405972</v>
      </c>
      <c r="I14" s="183">
        <f>+H14/G14-1</f>
        <v>3.3492318389528375E-2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132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46" t="s">
        <v>93</v>
      </c>
      <c r="D18" s="346"/>
      <c r="E18" s="346"/>
      <c r="F18" s="346"/>
      <c r="G18" s="347" t="s">
        <v>107</v>
      </c>
      <c r="H18" s="348"/>
      <c r="I18" s="348"/>
      <c r="J18" s="348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42" t="s">
        <v>13</v>
      </c>
      <c r="D54" s="344" t="s">
        <v>133</v>
      </c>
      <c r="E54" s="345"/>
      <c r="F54" s="345"/>
      <c r="G54" s="345"/>
      <c r="H54" s="345"/>
    </row>
    <row r="55" spans="3:15">
      <c r="C55" s="343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f>'Resumen (G)'!F14-'PorZona (G)'!D58</f>
        <v>77.929165372500051</v>
      </c>
      <c r="E56" s="188">
        <v>89.599077094229301</v>
      </c>
      <c r="F56" s="188">
        <v>0</v>
      </c>
      <c r="G56" s="188">
        <v>144.28307095331746</v>
      </c>
      <c r="H56" s="188">
        <f>SUM(D56:G56)</f>
        <v>311.81131342004682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7">
        <v>0</v>
      </c>
      <c r="E57" s="189">
        <v>1502.4163967933732</v>
      </c>
      <c r="F57" s="288">
        <v>6.4599999999999996E-3</v>
      </c>
      <c r="G57" s="189">
        <v>2601.4815042802284</v>
      </c>
      <c r="H57" s="189">
        <f>SUM(D57:G57)</f>
        <v>4103.9043610736016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7">
        <v>53.333147129999979</v>
      </c>
      <c r="E58" s="189">
        <v>264.39431887585852</v>
      </c>
      <c r="F58" s="189">
        <f>'Resumen (G)'!D15+0.01691</f>
        <v>81.926727879999916</v>
      </c>
      <c r="G58" s="189">
        <v>232.10513307841785</v>
      </c>
      <c r="H58" s="189">
        <f>SUM(D58:G58)</f>
        <v>631.75932696427628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89">
        <v>0</v>
      </c>
      <c r="E59" s="190">
        <v>0</v>
      </c>
      <c r="F59" s="190">
        <v>0</v>
      </c>
      <c r="G59" s="190">
        <f>E13</f>
        <v>37.09329421360291</v>
      </c>
      <c r="H59" s="190">
        <f>SUM(D59:G59)</f>
        <v>37.09329421360291</v>
      </c>
      <c r="I59" s="284"/>
      <c r="L59" s="265"/>
      <c r="M59" s="265"/>
    </row>
    <row r="60" spans="3:15" ht="13.5" thickBot="1">
      <c r="C60" s="93" t="s">
        <v>108</v>
      </c>
      <c r="D60" s="191">
        <f>SUM(D56:D59)</f>
        <v>131.26231250250004</v>
      </c>
      <c r="E60" s="192">
        <f>SUM(E56:E59)</f>
        <v>1856.4097927634612</v>
      </c>
      <c r="F60" s="192">
        <f>SUM(F56:F59)</f>
        <v>81.93318787999992</v>
      </c>
      <c r="G60" s="192">
        <f>SUM(G56:G59)</f>
        <v>3014.9630025255665</v>
      </c>
      <c r="H60" s="192">
        <f>SUM(H56:H59)</f>
        <v>5084.5682956715282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zoomScaleNormal="100" zoomScaleSheetLayoutView="100" workbookViewId="0">
      <selection activeCell="B1" sqref="B1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49" t="s">
        <v>128</v>
      </c>
      <c r="E6" s="350"/>
      <c r="F6" s="338" t="s">
        <v>74</v>
      </c>
      <c r="G6" s="340" t="s">
        <v>129</v>
      </c>
      <c r="H6" s="341"/>
      <c r="I6" s="338" t="s">
        <v>74</v>
      </c>
      <c r="O6" s="36"/>
      <c r="P6" s="7"/>
      <c r="Q6" s="351" t="s">
        <v>116</v>
      </c>
      <c r="R6" s="351"/>
    </row>
    <row r="7" spans="3:19" ht="12.75" customHeight="1">
      <c r="C7" s="87"/>
      <c r="D7" s="88">
        <v>2021</v>
      </c>
      <c r="E7" s="76">
        <v>2022</v>
      </c>
      <c r="F7" s="339"/>
      <c r="G7" s="206">
        <v>2021</v>
      </c>
      <c r="H7" s="76">
        <v>2022</v>
      </c>
      <c r="I7" s="339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6">
        <v>4.7563469999999999</v>
      </c>
      <c r="E8" s="298">
        <v>4.1802886666666677</v>
      </c>
      <c r="F8" s="194">
        <f>+E8/D8-1</f>
        <v>-0.12111360532217941</v>
      </c>
      <c r="G8" s="304">
        <v>45.359602000000002</v>
      </c>
      <c r="H8" s="298">
        <v>44.055674666666661</v>
      </c>
      <c r="I8" s="194">
        <f>+H8/G8-1</f>
        <v>-2.8746445644151408E-2</v>
      </c>
      <c r="J8" s="16"/>
      <c r="K8" s="35"/>
      <c r="L8" s="35"/>
      <c r="N8" s="41" t="s">
        <v>10</v>
      </c>
      <c r="O8" s="54">
        <f>SUM(D8,D13,D20,D21,D27,D29,D31)</f>
        <v>337.41795600000006</v>
      </c>
      <c r="P8" s="54">
        <f>SUM(E8,E13,E20,E21,E27,E29,E31)</f>
        <v>311.81131342004682</v>
      </c>
      <c r="Q8" s="54">
        <f>SUM(G8,G13,G20,G21,G27,G29,G31)</f>
        <v>3473.0478900000003</v>
      </c>
      <c r="R8" s="54">
        <f>SUM(H8,H13,H20,H21,H27,H29,H31)</f>
        <v>3539.9143060276269</v>
      </c>
    </row>
    <row r="9" spans="3:19" ht="20.100000000000001" customHeight="1">
      <c r="C9" s="96" t="s">
        <v>18</v>
      </c>
      <c r="D9" s="193">
        <v>218.36640999999997</v>
      </c>
      <c r="E9" s="247">
        <v>146.8542084812355</v>
      </c>
      <c r="F9" s="195">
        <f t="shared" ref="F9:F32" si="0">+E9/D9-1</f>
        <v>-0.32748718779030384</v>
      </c>
      <c r="G9" s="207">
        <v>2109.5302629999996</v>
      </c>
      <c r="H9" s="247">
        <v>1936.460047082971</v>
      </c>
      <c r="I9" s="195">
        <f t="shared" ref="I9:I32" si="1">+H9/G9-1</f>
        <v>-8.2042063559165324E-2</v>
      </c>
      <c r="J9" s="16"/>
      <c r="K9" s="35"/>
      <c r="L9" s="35"/>
      <c r="N9" s="41" t="s">
        <v>9</v>
      </c>
      <c r="O9" s="54">
        <f>SUM(D9,D14,D16,D17,D19,D22,D26,D32)</f>
        <v>3907.6717960000001</v>
      </c>
      <c r="P9" s="54">
        <f>SUM(E9,E14,E16,E17,E19,E22,E26,E32)</f>
        <v>4103.9043610736016</v>
      </c>
      <c r="Q9" s="54">
        <f>SUM(G9,G14,G16,G17,G19,G22,G26,G32)</f>
        <v>42249.175321000002</v>
      </c>
      <c r="R9" s="54">
        <f>SUM(H9,H14,H16,H17,H19,H22,H26,H32)</f>
        <v>43754.927971574354</v>
      </c>
    </row>
    <row r="10" spans="3:19" ht="20.100000000000001" customHeight="1">
      <c r="C10" s="97" t="s">
        <v>19</v>
      </c>
      <c r="D10" s="296">
        <v>3.2125600000000003</v>
      </c>
      <c r="E10" s="270">
        <v>2.4485810000000003</v>
      </c>
      <c r="F10" s="195">
        <f t="shared" si="0"/>
        <v>-0.23781003312000393</v>
      </c>
      <c r="G10" s="295">
        <v>41.043439999999997</v>
      </c>
      <c r="H10" s="270">
        <v>40.074271000000003</v>
      </c>
      <c r="I10" s="315">
        <f t="shared" si="1"/>
        <v>-2.3613249766588629E-2</v>
      </c>
      <c r="J10" s="16"/>
      <c r="K10" s="35"/>
      <c r="L10" s="35"/>
      <c r="N10" s="41" t="s">
        <v>12</v>
      </c>
      <c r="O10" s="54">
        <f>SUM(D10,D11,D12,D15,D18,D24,D25,D28,D30)</f>
        <v>532.60407199999997</v>
      </c>
      <c r="P10" s="54">
        <f>SUM(E10,E11,E12,E15,E18,E24,E25,E28,E30)</f>
        <v>631.75932696427628</v>
      </c>
      <c r="Q10" s="54">
        <f>SUM(G10,G11,G12,G15,G18,G24,G25,G28,G30)</f>
        <v>6307.0191249999989</v>
      </c>
      <c r="R10" s="54">
        <f>SUM(H10,H11,H12,H15,H18,H24,H25,H28,H30)</f>
        <v>6479.4041225903884</v>
      </c>
    </row>
    <row r="11" spans="3:19" ht="20.100000000000001" customHeight="1">
      <c r="C11" s="96" t="s">
        <v>20</v>
      </c>
      <c r="D11" s="193">
        <v>98.429536000000013</v>
      </c>
      <c r="E11" s="247">
        <v>100.73169929428532</v>
      </c>
      <c r="F11" s="195">
        <f t="shared" si="0"/>
        <v>2.3388947950392813E-2</v>
      </c>
      <c r="G11" s="207">
        <v>1116.9657410000002</v>
      </c>
      <c r="H11" s="247">
        <v>1062.7229637951584</v>
      </c>
      <c r="I11" s="195">
        <f t="shared" si="1"/>
        <v>-4.8562614961027539E-2</v>
      </c>
      <c r="J11" s="16"/>
      <c r="K11" s="35"/>
      <c r="L11" s="35"/>
      <c r="N11" s="275" t="s">
        <v>11</v>
      </c>
      <c r="O11" s="54">
        <f>D23</f>
        <v>35.049590000000009</v>
      </c>
      <c r="P11" s="54">
        <f>E23</f>
        <v>37.09329421360291</v>
      </c>
      <c r="Q11" s="54">
        <f>G23</f>
        <v>376.00068100000004</v>
      </c>
      <c r="R11" s="54">
        <f>H23</f>
        <v>386.16970121360293</v>
      </c>
    </row>
    <row r="12" spans="3:19" ht="20.100000000000001" customHeight="1">
      <c r="C12" s="96" t="s">
        <v>21</v>
      </c>
      <c r="D12" s="296">
        <v>1.2035349999999998</v>
      </c>
      <c r="E12" s="270">
        <v>1.0323533333333332</v>
      </c>
      <c r="F12" s="195">
        <f t="shared" si="0"/>
        <v>-0.14223239595580239</v>
      </c>
      <c r="G12" s="207">
        <v>9.6387640000000019</v>
      </c>
      <c r="H12" s="247">
        <v>10.323226333333333</v>
      </c>
      <c r="I12" s="195">
        <f t="shared" si="1"/>
        <v>7.1011421519743712E-2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128.81406600000003</v>
      </c>
      <c r="E13" s="247">
        <v>71.080506833581936</v>
      </c>
      <c r="F13" s="195">
        <f t="shared" si="0"/>
        <v>-0.44819297270236058</v>
      </c>
      <c r="G13" s="207">
        <v>1317.1404580000001</v>
      </c>
      <c r="H13" s="247">
        <v>1252.0594322768277</v>
      </c>
      <c r="I13" s="195">
        <f t="shared" si="1"/>
        <v>-4.941084705726384E-2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327.07779599999998</v>
      </c>
      <c r="E14" s="247">
        <v>347.55493421004735</v>
      </c>
      <c r="F14" s="195">
        <f t="shared" si="0"/>
        <v>6.2606323206505277E-2</v>
      </c>
      <c r="G14" s="207">
        <v>2890.6966540000003</v>
      </c>
      <c r="H14" s="247">
        <v>3194.8022421775477</v>
      </c>
      <c r="I14" s="195">
        <f t="shared" si="1"/>
        <v>0.10520148759183745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173.862379</v>
      </c>
      <c r="E15" s="247">
        <v>136.1953816730479</v>
      </c>
      <c r="F15" s="195">
        <f t="shared" si="0"/>
        <v>-0.21664834878943018</v>
      </c>
      <c r="G15" s="207">
        <v>1852.0296219999998</v>
      </c>
      <c r="H15" s="247">
        <v>1805.1169150132878</v>
      </c>
      <c r="I15" s="195">
        <f t="shared" si="1"/>
        <v>-2.5330430155890871E-2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716.57680800000003</v>
      </c>
      <c r="E16" s="247">
        <v>646.75668926121375</v>
      </c>
      <c r="F16" s="195">
        <f t="shared" si="0"/>
        <v>-9.7435638384191559E-2</v>
      </c>
      <c r="G16" s="207">
        <v>9292.9493349999993</v>
      </c>
      <c r="H16" s="247">
        <v>8963.4049846722846</v>
      </c>
      <c r="I16" s="195">
        <f t="shared" si="1"/>
        <v>-3.5461761217889465E-2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235.48939300000001</v>
      </c>
      <c r="E17" s="247">
        <v>74.303087626796781</v>
      </c>
      <c r="F17" s="195">
        <f t="shared" si="0"/>
        <v>-0.68447373921934229</v>
      </c>
      <c r="G17" s="207">
        <v>2125.2092170000001</v>
      </c>
      <c r="H17" s="247">
        <v>1885.31969949578</v>
      </c>
      <c r="I17" s="195">
        <f t="shared" si="1"/>
        <v>-0.11287807129071947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145.88920300000001</v>
      </c>
      <c r="E18" s="247">
        <v>95.642961712499968</v>
      </c>
      <c r="F18" s="195">
        <f t="shared" si="0"/>
        <v>-0.34441370748663314</v>
      </c>
      <c r="G18" s="207">
        <v>1568.0599430000002</v>
      </c>
      <c r="H18" s="247">
        <v>1642.08322787</v>
      </c>
      <c r="I18" s="195">
        <f t="shared" si="1"/>
        <v>4.7206922924374339E-2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284.32186400000001</v>
      </c>
      <c r="E19" s="247">
        <v>149.01675342833337</v>
      </c>
      <c r="F19" s="195">
        <f t="shared" si="0"/>
        <v>-0.47588711141703344</v>
      </c>
      <c r="G19" s="207">
        <v>2793.0959009999997</v>
      </c>
      <c r="H19" s="247">
        <v>2694.2241760633342</v>
      </c>
      <c r="I19" s="195">
        <f t="shared" si="1"/>
        <v>-3.5398614455474653E-2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68.220518000000013</v>
      </c>
      <c r="E20" s="247">
        <v>88.355418532383965</v>
      </c>
      <c r="F20" s="195">
        <f t="shared" si="0"/>
        <v>0.29514435132820238</v>
      </c>
      <c r="G20" s="207">
        <v>639.86180800000011</v>
      </c>
      <c r="H20" s="247">
        <v>674.41531655921847</v>
      </c>
      <c r="I20" s="195">
        <f t="shared" si="1"/>
        <v>5.4001517401423671E-2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5.0387580000000005</v>
      </c>
      <c r="E21" s="247">
        <v>6.9199443339997311</v>
      </c>
      <c r="F21" s="195">
        <f t="shared" si="0"/>
        <v>0.3733432591919934</v>
      </c>
      <c r="G21" s="207">
        <v>56.628327000000006</v>
      </c>
      <c r="H21" s="247">
        <v>60.095547938999729</v>
      </c>
      <c r="I21" s="195">
        <f t="shared" si="1"/>
        <v>6.1227677430762295E-2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2038.1719910000004</v>
      </c>
      <c r="E22" s="247">
        <v>2643.2190107223319</v>
      </c>
      <c r="F22" s="195">
        <f t="shared" si="0"/>
        <v>0.29685768541322832</v>
      </c>
      <c r="G22" s="207">
        <v>22023.774205000005</v>
      </c>
      <c r="H22" s="247">
        <v>24018.133074042813</v>
      </c>
      <c r="I22" s="195">
        <f t="shared" si="1"/>
        <v>9.0554818192334796E-2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35.049590000000009</v>
      </c>
      <c r="E23" s="247">
        <v>37.09329421360291</v>
      </c>
      <c r="F23" s="195">
        <f t="shared" si="0"/>
        <v>5.830893353111688E-2</v>
      </c>
      <c r="G23" s="207">
        <v>376.00068100000004</v>
      </c>
      <c r="H23" s="247">
        <v>386.16970121360293</v>
      </c>
      <c r="I23" s="195">
        <f t="shared" si="1"/>
        <v>2.7045217542047251E-2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6">
        <v>0.18806699999999998</v>
      </c>
      <c r="E24" s="270">
        <v>0.12161200000000001</v>
      </c>
      <c r="F24" s="195">
        <f t="shared" si="0"/>
        <v>-0.35335811173677456</v>
      </c>
      <c r="G24" s="295">
        <v>1.8866480000000001</v>
      </c>
      <c r="H24" s="270">
        <v>1.6519074325000001</v>
      </c>
      <c r="I24" s="195">
        <f t="shared" si="1"/>
        <v>-0.12442202652535084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68.968392999999992</v>
      </c>
      <c r="E25" s="247">
        <v>208.13427307089714</v>
      </c>
      <c r="F25" s="195">
        <f t="shared" si="0"/>
        <v>2.0178211209139985</v>
      </c>
      <c r="G25" s="207">
        <v>681.99074199999995</v>
      </c>
      <c r="H25" s="247">
        <v>804.75809838589703</v>
      </c>
      <c r="I25" s="195">
        <f t="shared" si="1"/>
        <v>0.18001323012959181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81.503185999999999</v>
      </c>
      <c r="E26" s="247">
        <v>38.047841446601716</v>
      </c>
      <c r="F26" s="195">
        <f t="shared" si="0"/>
        <v>-0.53317356886390044</v>
      </c>
      <c r="G26" s="207">
        <v>778.35326699999996</v>
      </c>
      <c r="H26" s="247">
        <v>779.18127092508246</v>
      </c>
      <c r="I26" s="315">
        <f t="shared" si="1"/>
        <v>1.0637893617044814E-3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125.92676300000002</v>
      </c>
      <c r="E27" s="247">
        <v>137.98704572008114</v>
      </c>
      <c r="F27" s="195">
        <f t="shared" si="0"/>
        <v>9.5772196733756365E-2</v>
      </c>
      <c r="G27" s="207">
        <v>1359.9099859999999</v>
      </c>
      <c r="H27" s="247">
        <v>1459.199926252581</v>
      </c>
      <c r="I27" s="195">
        <f t="shared" si="1"/>
        <v>7.3012141446677337E-2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28.117460000000005</v>
      </c>
      <c r="E28" s="247">
        <v>65.207433106665249</v>
      </c>
      <c r="F28" s="195">
        <f t="shared" si="0"/>
        <v>1.3191082376098424</v>
      </c>
      <c r="G28" s="207">
        <v>891.82258399999989</v>
      </c>
      <c r="H28" s="247">
        <v>960.54559228166534</v>
      </c>
      <c r="I28" s="195">
        <f t="shared" si="1"/>
        <v>7.7059058062231678E-2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3.560956</v>
      </c>
      <c r="E29" s="247">
        <v>2.187561333333333</v>
      </c>
      <c r="F29" s="195">
        <f t="shared" si="0"/>
        <v>-0.38568144809053162</v>
      </c>
      <c r="G29" s="207">
        <v>42.04168099999999</v>
      </c>
      <c r="H29" s="247">
        <v>37.982380333333325</v>
      </c>
      <c r="I29" s="195">
        <f t="shared" si="1"/>
        <v>-9.655419503008611E-2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12.732939</v>
      </c>
      <c r="E30" s="247">
        <v>22.245031773547346</v>
      </c>
      <c r="F30" s="195">
        <f t="shared" si="0"/>
        <v>0.74704612764950395</v>
      </c>
      <c r="G30" s="207">
        <v>143.58164099999999</v>
      </c>
      <c r="H30" s="247">
        <v>152.12792047854734</v>
      </c>
      <c r="I30" s="195">
        <f t="shared" si="1"/>
        <v>5.952209083992388E-2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12.106028000000002</v>
      </c>
      <c r="H31" s="247">
        <v>12.106028000000002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6.1643480000000004</v>
      </c>
      <c r="E32" s="248">
        <v>58.151835897041721</v>
      </c>
      <c r="F32" s="196">
        <f t="shared" si="0"/>
        <v>8.4335744667630248</v>
      </c>
      <c r="G32" s="208">
        <v>235.56647900000002</v>
      </c>
      <c r="H32" s="248">
        <v>283.40247711454168</v>
      </c>
      <c r="I32" s="196">
        <f t="shared" si="1"/>
        <v>0.20306793359398845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4812.7434140000023</v>
      </c>
      <c r="E33" s="249">
        <f>SUM(E8:E32)</f>
        <v>5084.5682956715291</v>
      </c>
      <c r="F33" s="94">
        <f>+E33/D33-1</f>
        <v>5.6480235551474411E-2</v>
      </c>
      <c r="G33" s="209">
        <f>SUM(G8:G32)</f>
        <v>52405.243017000001</v>
      </c>
      <c r="H33" s="249">
        <f>SUM(H8:H32)</f>
        <v>54160.416101405965</v>
      </c>
      <c r="I33" s="210">
        <f>+H33/G33-1</f>
        <v>3.3492318389528153E-2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130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7" t="s">
        <v>45</v>
      </c>
    </row>
    <row r="44" spans="3:19">
      <c r="C44" s="15"/>
      <c r="N44" s="39" t="s">
        <v>30</v>
      </c>
      <c r="O44" s="40">
        <v>2643.2190107223319</v>
      </c>
      <c r="S44" s="36"/>
    </row>
    <row r="45" spans="3:19">
      <c r="C45" s="15"/>
      <c r="N45" s="39" t="s">
        <v>24</v>
      </c>
      <c r="O45" s="40">
        <v>646.75668926121375</v>
      </c>
      <c r="S45" s="36"/>
    </row>
    <row r="46" spans="3:19">
      <c r="C46" s="15"/>
      <c r="N46" s="39" t="s">
        <v>59</v>
      </c>
      <c r="O46" s="40">
        <v>347.55493421004735</v>
      </c>
      <c r="S46" s="36"/>
    </row>
    <row r="47" spans="3:19">
      <c r="N47" s="39" t="s">
        <v>33</v>
      </c>
      <c r="O47" s="40">
        <v>208.13427307089714</v>
      </c>
      <c r="S47" s="36"/>
    </row>
    <row r="48" spans="3:19">
      <c r="N48" s="39" t="s">
        <v>27</v>
      </c>
      <c r="O48" s="40">
        <v>149.01675342833337</v>
      </c>
      <c r="S48" s="36"/>
    </row>
    <row r="49" spans="14:19">
      <c r="N49" s="39" t="s">
        <v>18</v>
      </c>
      <c r="O49" s="40">
        <v>146.8542084812355</v>
      </c>
      <c r="S49" s="36"/>
    </row>
    <row r="50" spans="14:19">
      <c r="N50" s="39" t="s">
        <v>35</v>
      </c>
      <c r="O50" s="40">
        <v>137.98704572008114</v>
      </c>
      <c r="S50" s="36"/>
    </row>
    <row r="51" spans="14:19">
      <c r="N51" s="39" t="s">
        <v>23</v>
      </c>
      <c r="O51" s="40">
        <v>136.1953816730479</v>
      </c>
      <c r="S51" s="36"/>
    </row>
    <row r="52" spans="14:19">
      <c r="N52" s="39" t="s">
        <v>20</v>
      </c>
      <c r="O52" s="40">
        <v>100.73169929428532</v>
      </c>
      <c r="S52" s="36"/>
    </row>
    <row r="53" spans="14:19">
      <c r="N53" s="39" t="s">
        <v>26</v>
      </c>
      <c r="O53" s="40">
        <v>95.642961712499968</v>
      </c>
      <c r="S53" s="36"/>
    </row>
    <row r="54" spans="14:19">
      <c r="N54" s="39" t="s">
        <v>28</v>
      </c>
      <c r="O54" s="40">
        <v>88.355418532383965</v>
      </c>
      <c r="S54" s="36"/>
    </row>
    <row r="55" spans="14:19">
      <c r="N55" s="39" t="s">
        <v>25</v>
      </c>
      <c r="O55" s="40">
        <v>74.303087626796781</v>
      </c>
      <c r="S55" s="36"/>
    </row>
    <row r="56" spans="14:19">
      <c r="N56" s="39" t="s">
        <v>22</v>
      </c>
      <c r="O56" s="40">
        <v>71.080506833581936</v>
      </c>
      <c r="S56" s="36"/>
    </row>
    <row r="57" spans="14:19">
      <c r="N57" s="39" t="s">
        <v>36</v>
      </c>
      <c r="O57" s="40">
        <v>65.207433106665249</v>
      </c>
      <c r="S57" s="36"/>
    </row>
    <row r="58" spans="14:19">
      <c r="N58" s="39" t="s">
        <v>40</v>
      </c>
      <c r="O58" s="40">
        <v>58.151835897041721</v>
      </c>
      <c r="S58" s="36"/>
    </row>
    <row r="59" spans="14:19">
      <c r="N59" s="39" t="s">
        <v>34</v>
      </c>
      <c r="O59" s="40">
        <v>38.047841446601716</v>
      </c>
      <c r="S59" s="36"/>
    </row>
    <row r="60" spans="14:19">
      <c r="N60" s="39" t="s">
        <v>31</v>
      </c>
      <c r="O60" s="40">
        <v>37.09329421360291</v>
      </c>
      <c r="S60" s="36"/>
    </row>
    <row r="61" spans="14:19">
      <c r="N61" s="39" t="s">
        <v>38</v>
      </c>
      <c r="O61" s="40">
        <v>22.245031773547346</v>
      </c>
      <c r="S61" s="36"/>
    </row>
    <row r="62" spans="14:19">
      <c r="N62" s="39" t="s">
        <v>29</v>
      </c>
      <c r="O62" s="40">
        <v>6.9199443339997311</v>
      </c>
      <c r="S62" s="36"/>
    </row>
    <row r="63" spans="14:19">
      <c r="N63" s="39" t="s">
        <v>17</v>
      </c>
      <c r="O63" s="40">
        <v>4.1802886666666677</v>
      </c>
      <c r="S63" s="36"/>
    </row>
    <row r="64" spans="14:19">
      <c r="N64" s="39" t="s">
        <v>19</v>
      </c>
      <c r="O64" s="40">
        <v>2.4485810000000003</v>
      </c>
      <c r="S64" s="36"/>
    </row>
    <row r="65" spans="6:19">
      <c r="N65" s="39" t="s">
        <v>37</v>
      </c>
      <c r="O65" s="40">
        <v>2.187561333333333</v>
      </c>
      <c r="S65" s="99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1.0323533333333332</v>
      </c>
      <c r="S67" s="36"/>
    </row>
    <row r="68" spans="6:19">
      <c r="N68" t="s">
        <v>32</v>
      </c>
      <c r="O68" s="40">
        <v>0.12161200000000001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2022-12-23T00:20:32Z</dcterms:modified>
</cp:coreProperties>
</file>